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jOPHG/ZjiP+4beqVWOgSJbCNOMiEu1ynVSHecvqvlE451wO6wnCFz2VH7egR8C8bQ26yYk5YtXuQrI3VrShItw==" workbookSaltValue="VYZvBC+vwP/ZT4qApDYzT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F17" i="16" s="1"/>
  <c r="BL17" i="16" s="1"/>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EL19" i="8"/>
  <c r="EQ19" i="8"/>
  <c r="E11" i="12"/>
  <c r="EN19" i="8"/>
  <c r="BA13" i="16"/>
  <c r="N11" i="11"/>
  <c r="ES19" i="8"/>
  <c r="L19" i="8"/>
  <c r="BM19" i="8"/>
  <c r="BK19" i="8"/>
  <c r="EP19" i="8"/>
  <c r="AL13" i="16"/>
  <c r="AJ13" i="16"/>
  <c r="S13" i="16"/>
  <c r="H18" i="16"/>
  <c r="BN18" i="16"/>
  <c r="P13" i="16"/>
  <c r="AM13" i="20"/>
  <c r="AN13" i="20"/>
  <c r="AT17" i="20"/>
  <c r="Z13" i="17"/>
  <c r="T13" i="20"/>
  <c r="T13" i="16"/>
  <c r="AP13" i="16"/>
  <c r="F15" i="16"/>
  <c r="BL15" i="16" s="1"/>
  <c r="T18" i="17"/>
  <c r="BF15" i="13"/>
  <c r="BG15" i="13"/>
  <c r="BA18" i="13"/>
  <c r="G18" i="14"/>
  <c r="AO20" i="20"/>
  <c r="AN20" i="20"/>
  <c r="H20" i="20"/>
  <c r="E20" i="20"/>
  <c r="K20" i="20"/>
  <c r="N20" i="20"/>
  <c r="U12" i="11"/>
  <c r="L20" i="20"/>
  <c r="U16" i="11"/>
  <c r="AI20" i="20"/>
  <c r="AF20" i="20"/>
  <c r="AX20" i="20"/>
  <c r="AZ20" i="20"/>
  <c r="AG20" i="20"/>
  <c r="AC20" i="20"/>
  <c r="Q20" i="20"/>
  <c r="U10" i="11"/>
  <c r="Z20" i="20"/>
  <c r="AA20" i="20"/>
  <c r="M20" i="20"/>
  <c r="F20" i="20"/>
  <c r="O20" i="20"/>
  <c r="AU20" i="20"/>
  <c r="W20" i="21"/>
  <c r="X20" i="20"/>
  <c r="AH20" i="20"/>
  <c r="AM20" i="20"/>
  <c r="I20" i="20"/>
  <c r="P20" i="20"/>
  <c r="AQ20" i="20"/>
  <c r="W20" i="20"/>
  <c r="AK20" i="20"/>
  <c r="AQ20" i="21"/>
  <c r="AK19" i="8" l="1"/>
  <c r="AM19" i="8"/>
  <c r="AC19" i="8"/>
  <c r="AA19" i="8"/>
  <c r="AI19" i="8"/>
  <c r="U19" i="8"/>
  <c r="BG12" i="8"/>
  <c r="C12" i="14"/>
  <c r="K12" i="14" s="1"/>
  <c r="R19" i="8"/>
  <c r="T19" i="8"/>
  <c r="BG10" i="8"/>
  <c r="M13" i="2"/>
  <c r="N13" i="2"/>
  <c r="H9" i="7"/>
  <c r="F17" i="17"/>
  <c r="AQ17" i="17" s="1"/>
  <c r="BE12" i="21"/>
  <c r="E12" i="6"/>
  <c r="BG9" i="8"/>
  <c r="BE9" i="8"/>
  <c r="BE12" i="8"/>
  <c r="AY13" i="13"/>
  <c r="T17" i="11"/>
  <c r="BH9" i="16"/>
  <c r="BJ17" i="11"/>
  <c r="BH15" i="16"/>
  <c r="V11" i="16"/>
  <c r="BF16" i="11"/>
  <c r="BL12" i="11"/>
  <c r="X11" i="17"/>
  <c r="V17" i="16"/>
  <c r="V11" i="11"/>
  <c r="Q10" i="21"/>
  <c r="BI15" i="11"/>
  <c r="BJ12" i="11"/>
  <c r="BG15" i="11"/>
  <c r="BK17" i="11"/>
  <c r="T15" i="16"/>
  <c r="BV17" i="16"/>
  <c r="BV12" i="16"/>
  <c r="BV11" i="16"/>
  <c r="U10" i="17"/>
  <c r="V12" i="16"/>
  <c r="AA16" i="16"/>
  <c r="AZ12" i="11"/>
  <c r="BG12" i="11"/>
  <c r="BH10" i="11"/>
  <c r="AQ10" i="21"/>
  <c r="S10" i="17"/>
  <c r="Q15" i="17"/>
  <c r="BF15" i="11"/>
  <c r="AQ12" i="21"/>
  <c r="BL16" i="11"/>
  <c r="S15" i="17"/>
  <c r="X10" i="21"/>
  <c r="L9" i="2"/>
  <c r="AP16" i="20"/>
  <c r="V15" i="11"/>
  <c r="BH15" i="11"/>
  <c r="Q17" i="20"/>
  <c r="Q18" i="20" s="1"/>
  <c r="BF17" i="11"/>
  <c r="S17" i="16"/>
  <c r="BK11" i="11"/>
  <c r="BI10" i="11"/>
  <c r="S9" i="14"/>
  <c r="V9" i="14" s="1"/>
  <c r="BJ15" i="11"/>
  <c r="AP15" i="20"/>
  <c r="R17" i="20"/>
  <c r="R18" i="20" s="1"/>
  <c r="T17" i="16"/>
  <c r="BU11" i="17"/>
  <c r="BU10" i="17"/>
  <c r="BW12" i="20"/>
  <c r="BW11" i="20"/>
  <c r="BW10" i="20"/>
  <c r="BU12" i="17"/>
  <c r="AZ16" i="11"/>
  <c r="AZ11" i="11"/>
  <c r="Q17" i="17"/>
  <c r="BI9" i="11"/>
  <c r="T12" i="11"/>
  <c r="BH10" i="16"/>
  <c r="BM17" i="11"/>
  <c r="BH16" i="11"/>
  <c r="BJ16" i="11"/>
  <c r="L12" i="2"/>
  <c r="AA11"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S18" i="16" s="1"/>
  <c r="S19" i="16" s="1"/>
  <c r="P15" i="17"/>
  <c r="P18" i="17" s="1"/>
  <c r="P19" i="17" s="1"/>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K12" i="7"/>
  <c r="K10" i="7"/>
  <c r="AM15" i="11"/>
  <c r="AO12" i="17"/>
  <c r="B12" i="6"/>
  <c r="D12" i="6"/>
  <c r="AL12" i="11"/>
  <c r="I13" i="2"/>
  <c r="D16" i="2"/>
  <c r="L12" i="14"/>
  <c r="AN12" i="11"/>
  <c r="AM12" i="11"/>
  <c r="C12" i="6"/>
  <c r="B10" i="6"/>
  <c r="I10" i="7"/>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J12" i="12" l="1"/>
  <c r="I10" i="12"/>
  <c r="K10" i="12"/>
  <c r="BK13" i="11"/>
  <c r="I15" i="12"/>
  <c r="I12" i="12"/>
  <c r="K9" i="12"/>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U20" i="11"/>
  <c r="AC20" i="16"/>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R20" i="17"/>
  <c r="AD20" i="17"/>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9" i="8" s="1"/>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M19" i="11" l="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<sst xmlns="http://schemas.openxmlformats.org/spreadsheetml/2006/main" count="2094" uniqueCount="913">
  <si>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</si>
  <si>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</si>
  <si>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</si>
  <si>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</si>
  <si>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</si>
  <si>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</si>
  <si>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</si>
  <si>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</si>
  <si>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</si>
  <si>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</si>
  <si>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</si>
  <si>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</si>
  <si>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</si>
  <si>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</si>
  <si>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</si>
  <si>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</si>
  <si>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</si>
  <si>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</si>
  <si>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</si>
  <si>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</si>
  <si>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</si>
  <si>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</si>
  <si>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</si>
  <si>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</si>
  <si>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</si>
  <si>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</si>
  <si>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</si>
  <si>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</si>
  <si>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</si>
  <si>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</si>
  <si>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</si>
  <si>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</si>
  <si>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</si>
  <si>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</si>
  <si>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</si>
  <si>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</si>
  <si>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</si>
  <si>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</si>
  <si>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</si>
  <si>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</si>
  <si>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</si>
  <si>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</si>
  <si>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</si>
  <si>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</si>
  <si>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</si>
  <si>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</si>
  <si>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</si>
  <si>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</si>
  <si>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</si>
  <si>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</si>
  <si>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</si>
  <si>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</si>
  <si>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</si>
  <si>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</si>
  <si>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</si>
  <si>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</si>
  <si>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</si>
  <si>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</si>
  <si>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</si>
  <si>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</si>
  <si>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</si>
  <si>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</si>
  <si>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</si>
  <si>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</si>
  <si>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</si>
  <si>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</si>
  <si>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</si>
  <si>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</si>
  <si>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</si>
  <si>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</si>
  <si>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</si>
  <si>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</si>
  <si>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</si>
  <si>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</si>
  <si>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</si>
  <si>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</si>
  <si>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</si>
  <si>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</si>
  <si>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</si>
  <si>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</si>
  <si>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</si>
  <si>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</si>
  <si>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</si>
  <si>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</si>
  <si>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</si>
  <si>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</si>
  <si>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</si>
  <si>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</si>
  <si>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</si>
  <si>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</si>
  <si>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</si>
  <si>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</si>
  <si>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</si>
  <si>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</si>
  <si>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</si>
  <si>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</si>
  <si>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</si>
  <si>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</si>
  <si>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</si>
  <si>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</si>
  <si>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</si>
  <si>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</si>
  <si>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</si>
  <si>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</si>
  <si>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</si>
  <si>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</si>
  <si>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</si>
  <si>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</si>
  <si>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</si>
  <si>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</si>
  <si>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</si>
  <si>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</si>
  <si>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</si>
  <si>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</si>
  <si>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</si>
  <si>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</si>
  <si>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</si>
  <si>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</si>
  <si>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</si>
  <si>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</si>
  <si>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</si>
  <si>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</si>
  <si>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</si>
  <si>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</si>
  <si>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</si>
  <si>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</si>
  <si>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</si>
  <si>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</si>
  <si>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</si>
  <si>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</si>
  <si>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</si>
  <si>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</si>
  <si>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</si>
  <si>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</si>
  <si>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</si>
  <si>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</si>
  <si>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</si>
  <si>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</si>
  <si>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</si>
  <si>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</si>
  <si>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</si>
  <si>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</si>
  <si>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</si>
  <si>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</si>
  <si>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</si>
  <si>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</si>
  <si>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</si>
  <si>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</si>
  <si>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</si>
  <si>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</si>
  <si>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</si>
  <si>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</si>
  <si>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</si>
  <si>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</si>
  <si>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</si>
  <si>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</si>
  <si>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</si>
  <si>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</si>
  <si>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</si>
  <si>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</si>
  <si>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</si>
  <si>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</si>
  <si>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</si>
  <si>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</si>
  <si>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</si>
  <si>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</si>
  <si>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</si>
  <si>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</si>
  <si>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</si>
  <si>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</si>
  <si>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</si>
  <si>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</si>
  <si>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</si>
  <si>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</si>
  <si>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</si>
  <si>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</si>
  <si>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</si>
  <si>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</si>
  <si>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</si>
  <si>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</si>
  <si>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</si>
  <si>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</si>
  <si>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</si>
  <si>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</si>
  <si>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</si>
  <si>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</si>
  <si>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</si>
  <si>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</si>
  <si>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</si>
  <si>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</si>
  <si>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</si>
  <si>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</si>
  <si>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</si>
  <si>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</si>
  <si>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</si>
  <si>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</si>
  <si>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</si>
  <si>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</si>
  <si>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</si>
  <si>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</si>
  <si>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</si>
  <si>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</si>
  <si>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</si>
  <si>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</si>
  <si>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</si>
  <si>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</si>
  <si>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</si>
  <si>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</si>
  <si>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</si>
  <si>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</si>
  <si>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</si>
  <si>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</si>
  <si>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</si>
  <si>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</si>
  <si>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</si>
  <si>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</si>
  <si>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</si>
  <si>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</si>
  <si>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</si>
  <si>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</si>
  <si>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</si>
  <si>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</si>
  <si>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</si>
  <si>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</si>
  <si>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</si>
  <si>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</si>
  <si>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</si>
  <si>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</si>
  <si>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</si>
  <si>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</si>
  <si>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</si>
  <si>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</si>
  <si>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</si>
  <si>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</si>
  <si>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</si>
  <si>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</si>
  <si>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</si>
  <si>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</si>
  <si>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</si>
  <si>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</si>
  <si>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</si>
  <si>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</si>
  <si>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</si>
  <si>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</si>
  <si>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</si>
  <si>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</si>
  <si>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</si>
  <si>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</si>
  <si>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</si>
  <si>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</si>
  <si>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</si>
  <si>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</si>
  <si>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</si>
  <si>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</si>
  <si>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</si>
  <si>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</si>
  <si>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</si>
  <si>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</si>
  <si>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</si>
  <si>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</si>
  <si>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</si>
  <si>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</si>
  <si>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</si>
  <si>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</si>
  <si>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</si>
  <si>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</si>
  <si>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</si>
  <si>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</si>
  <si>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</si>
  <si>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</si>
  <si>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</si>
  <si>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</si>
  <si>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</si>
  <si>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</si>
  <si>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</si>
  <si>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</si>
  <si>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</si>
  <si>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</si>
  <si>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</si>
  <si>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</si>
  <si>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</si>
  <si>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</si>
  <si>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</si>
  <si>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</si>
  <si>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</si>
  <si>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</si>
  <si>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</si>
  <si>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</si>
  <si>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</si>
  <si>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</si>
  <si>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</si>
  <si>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</si>
  <si>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</si>
  <si>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</si>
  <si>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</si>
  <si>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</si>
  <si>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</si>
  <si>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</si>
  <si>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</si>
  <si>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</si>
  <si>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</si>
  <si>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</si>
  <si>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</si>
  <si>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</si>
  <si>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</si>
  <si>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</si>
  <si>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</si>
  <si>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</si>
  <si>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</si>
  <si>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</si>
  <si>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</si>
  <si>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</si>
  <si>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</si>
  <si>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</si>
  <si>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</si>
  <si>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</si>
  <si>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</si>
  <si>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</si>
  <si>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</si>
  <si>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</si>
  <si>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</si>
  <si>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</si>
  <si>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</si>
  <si>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</si>
  <si>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</si>
  <si>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</si>
  <si>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</si>
  <si>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</si>
  <si>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</si>
  <si>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</si>
  <si>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</si>
  <si>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</si>
  <si>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</si>
  <si>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</si>
  <si>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</si>
  <si>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</si>
  <si>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</si>
  <si>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</si>
  <si>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</si>
  <si>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</si>
  <si>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</si>
  <si>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</si>
  <si>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</si>
  <si>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</si>
  <si>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</si>
  <si>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</si>
  <si>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</si>
  <si>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</si>
  <si>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</si>
  <si>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</si>
  <si>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</si>
  <si>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</si>
  <si>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</si>
  <si>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</si>
  <si>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</si>
  <si>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</si>
  <si>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</si>
  <si>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</si>
  <si>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</si>
  <si>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</si>
  <si>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</si>
  <si>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</si>
  <si>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</si>
  <si>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</si>
  <si>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</si>
  <si>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</si>
  <si>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</si>
  <si>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</si>
  <si>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</si>
  <si>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</si>
  <si>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</si>
  <si>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</si>
  <si>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</si>
  <si>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</si>
  <si>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</si>
  <si>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</si>
  <si>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</si>
  <si>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</si>
  <si>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</si>
  <si>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</si>
  <si>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</si>
  <si>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</si>
  <si>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</si>
  <si>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</si>
  <si>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</si>
  <si>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</si>
  <si>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</si>
  <si>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</si>
  <si>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</si>
  <si>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</si>
  <si>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</si>
  <si>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</si>
  <si>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</si>
  <si>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</si>
  <si>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</si>
  <si>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</si>
  <si>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</si>
  <si>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</si>
  <si>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</si>
  <si>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</si>
  <si>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</si>
  <si>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</si>
  <si>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</si>
  <si>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</si>
  <si>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</si>
  <si>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</si>
  <si>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</si>
  <si>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</si>
  <si>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</si>
  <si>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</si>
  <si>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</si>
  <si>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</si>
  <si>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</si>
  <si>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</si>
  <si>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</si>
  <si>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</si>
  <si>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</si>
  <si>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</si>
  <si>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</si>
  <si>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</si>
  <si>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</si>
  <si>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</si>
  <si>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</si>
  <si>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</si>
  <si>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</si>
  <si>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</si>
  <si>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</si>
  <si>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</si>
  <si>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</si>
  <si>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</si>
  <si>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</si>
  <si>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</si>
  <si>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</si>
  <si>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</si>
  <si>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</si>
  <si>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</si>
  <si>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</si>
  <si>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</si>
  <si>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</si>
  <si>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</si>
  <si>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</si>
  <si>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</si>
  <si>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</si>
  <si>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</si>
  <si>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</si>
  <si>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</si>
  <si>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</si>
  <si>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</si>
  <si>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</si>
  <si>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</si>
  <si>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</si>
  <si>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</si>
  <si>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</si>
  <si>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</si>
  <si>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</si>
  <si>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</si>
  <si>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</si>
  <si>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</si>
  <si>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</si>
  <si>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</si>
  <si>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</si>
  <si>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</si>
  <si>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</si>
  <si>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</si>
  <si>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</si>
  <si>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</si>
  <si>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</si>
  <si>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</si>
  <si>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</si>
  <si>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</si>
  <si>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</si>
  <si>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</si>
  <si>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</si>
  <si>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</si>
  <si>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</si>
  <si>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</si>
  <si>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</si>
  <si>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</si>
  <si>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</si>
  <si>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</si>
  <si>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</si>
  <si>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</si>
  <si>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</si>
  <si>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</si>
  <si>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</si>
  <si>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</si>
  <si>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</si>
  <si>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</si>
  <si>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</si>
  <si>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</si>
  <si>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</si>
  <si>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</si>
  <si>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</si>
  <si>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</si>
  <si>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</si>
  <si>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</si>
  <si>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</si>
  <si>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</si>
  <si>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</si>
  <si>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</si>
  <si>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</si>
  <si>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</si>
  <si>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</si>
  <si>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</si>
  <si>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</si>
  <si>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</si>
  <si>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</si>
  <si>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</si>
  <si>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</si>
  <si>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</si>
  <si>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</si>
  <si>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</si>
  <si>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</si>
  <si>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</si>
  <si>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</si>
  <si>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</si>
  <si>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</si>
  <si>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</si>
  <si>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</si>
  <si>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</si>
  <si>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</si>
  <si>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</si>
  <si>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</si>
  <si>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</si>
  <si>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</si>
  <si>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</si>
  <si>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</si>
  <si>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</si>
  <si>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</si>
  <si>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</si>
  <si>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</si>
  <si>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</si>
  <si>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</si>
  <si>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</si>
  <si>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</si>
  <si>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</si>
  <si>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</si>
  <si>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</si>
  <si>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</si>
  <si>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</si>
  <si>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</si>
  <si>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</si>
  <si>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</si>
  <si>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</si>
  <si>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</si>
  <si>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</si>
  <si>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</si>
  <si>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</si>
  <si>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</si>
  <si>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</si>
  <si>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</si>
  <si>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</si>
  <si>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</si>
  <si>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</si>
  <si>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</si>
  <si>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</si>
  <si>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</si>
  <si>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</si>
  <si>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</si>
  <si>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</si>
  <si>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</si>
  <si>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</si>
  <si>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</si>
  <si>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</si>
  <si>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</si>
  <si>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</si>
  <si>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</si>
  <si>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</si>
  <si>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</si>
  <si>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</si>
  <si>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</si>
  <si>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</si>
  <si>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</si>
  <si>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</si>
  <si>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</si>
  <si>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</si>
  <si>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</si>
  <si>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</si>
  <si>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</si>
  <si>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</si>
  <si>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</si>
  <si>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</si>
  <si>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</si>
  <si>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</si>
  <si>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</si>
  <si>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</si>
  <si>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</si>
  <si>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</si>
  <si>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</si>
  <si>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</si>
  <si>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</si>
  <si>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</si>
  <si>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</si>
  <si>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</si>
  <si>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</si>
  <si>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</si>
  <si>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</si>
  <si>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</si>
  <si>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</si>
  <si>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</si>
  <si>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</si>
  <si>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</si>
  <si>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</si>
  <si>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</si>
  <si>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</si>
  <si>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</si>
  <si>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</si>
  <si>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</si>
  <si>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</si>
  <si>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</si>
  <si>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</si>
  <si>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</si>
  <si>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</si>
  <si>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</si>
  <si>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</si>
  <si>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</si>
  <si>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</si>
  <si>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</si>
  <si>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</si>
  <si>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</si>
  <si>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</si>
  <si>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</si>
  <si>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</si>
  <si>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</si>
  <si>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</si>
  <si>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</si>
  <si>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</si>
  <si>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</si>
  <si>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</si>
  <si>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</si>
  <si>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</si>
  <si>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</si>
  <si>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</si>
  <si>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</si>
  <si>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</si>
  <si>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</si>
  <si>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</si>
  <si>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</si>
  <si>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</si>
  <si>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</si>
  <si>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</si>
  <si>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</si>
  <si>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</si>
  <si>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</si>
  <si>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</si>
  <si>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</si>
  <si>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</si>
  <si>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</si>
  <si>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</si>
  <si>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</si>
  <si>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</si>
  <si>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</si>
  <si>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</si>
  <si>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</si>
  <si>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</si>
  <si>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</si>
  <si>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</si>
  <si>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</si>
  <si>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</si>
  <si>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</si>
  <si>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</si>
  <si>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</si>
  <si>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</si>
  <si>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</si>
  <si>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</si>
  <si>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</si>
  <si>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</si>
  <si>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</si>
  <si>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</si>
  <si>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</si>
  <si>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</si>
  <si>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</si>
  <si>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</si>
  <si>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</si>
  <si>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</si>
  <si>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</si>
  <si>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</si>
  <si>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</si>
  <si>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</si>
  <si>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</si>
  <si>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</si>
  <si>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</si>
  <si>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</si>
  <si>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</si>
  <si>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</si>
  <si>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</si>
  <si>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</si>
  <si>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</si>
  <si>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</si>
  <si>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</si>
  <si>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</si>
  <si>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</si>
  <si>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</si>
  <si>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</si>
  <si>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</si>
  <si>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</si>
  <si>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</si>
  <si>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</si>
  <si>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</si>
  <si>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</si>
  <si>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</si>
  <si>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</si>
  <si>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</si>
  <si>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</si>
  <si>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</si>
  <si>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</si>
  <si>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</si>
  <si>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</si>
  <si>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</si>
  <si>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</si>
  <si>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</si>
  <si>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</si>
  <si>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</si>
  <si>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</si>
  <si>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</si>
  <si>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</si>
  <si>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</si>
  <si>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</si>
  <si>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</si>
  <si>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</si>
  <si>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</si>
  <si>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</si>
  <si>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</si>
  <si>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</si>
  <si>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</si>
  <si>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</si>
  <si>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</si>
  <si>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</si>
  <si>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</si>
  <si>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</si>
  <si>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</si>
  <si>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</si>
  <si>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</si>
  <si>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</si>
  <si>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</si>
  <si>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</si>
  <si>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</si>
  <si>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</si>
  <si>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</si>
  <si>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</si>
  <si>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</si>
  <si>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</si>
  <si>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</si>
  <si>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</si>
  <si>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</si>
  <si>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</si>
  <si>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</si>
  <si>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</si>
  <si>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</si>
  <si>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</si>
  <si>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</si>
  <si>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</si>
  <si>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</si>
  <si>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</si>
  <si>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</si>
  <si>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</si>
  <si>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</si>
  <si>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</si>
  <si>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</si>
  <si>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</si>
  <si>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</si>
  <si>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</si>
  <si>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</si>
  <si>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</si>
  <si>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</si>
  <si>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</si>
  <si>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</si>
  <si>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</si>
  <si>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</si>
  <si>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</si>
  <si>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</si>
  <si>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</si>
  <si>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</si>
  <si>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</si>
  <si>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</si>
  <si>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</si>
  <si>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</si>
  <si>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</si>
  <si>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</si>
  <si>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</si>
  <si>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</si>
  <si>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</si>
  <si>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</si>
  <si>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</si>
  <si>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</si>
  <si>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</si>
  <si>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</si>
  <si>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</si>
  <si>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</si>
  <si>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</si>
  <si>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</si>
  <si>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</si>
  <si>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</si>
  <si>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</si>
  <si>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</si>
  <si>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</si>
  <si>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</si>
  <si>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</si>
  <si>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</si>
  <si>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</si>
  <si>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</si>
  <si>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</si>
  <si>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</si>
  <si>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</si>
  <si>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</si>
  <si>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</si>
  <si>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</si>
  <si>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</si>
  <si>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</si>
  <si>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</si>
  <si>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</si>
  <si>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</si>
  <si>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</si>
  <si>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</si>
  <si>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</si>
  <si>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</si>
  <si>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</si>
  <si>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</si>
  <si>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</si>
  <si>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</si>
  <si>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</si>
  <si>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</si>
  <si>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</si>
  <si>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</si>
  <si>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</si>
  <si>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</si>
  <si>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</si>
  <si>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</si>
  <si>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</si>
  <si>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</si>
  <si>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</si>
  <si>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</si>
  <si>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</si>
  <si>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</si>
  <si>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</si>
  <si>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</si>
  <si>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</si>
  <si>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</si>
  <si>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</si>
  <si>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</si>
  <si>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</si>
  <si>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</si>
  <si>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</si>
  <si>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</si>
  <si>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</si>
  <si>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</si>
  <si>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</si>
  <si>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</si>
  <si>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</si>
  <si>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</si>
  <si>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</si>
  <si>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</si>
  <si>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</si>
  <si>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</si>
  <si>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</si>
  <si>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</si>
  <si>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</si>
  <si>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</si>
  <si>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</si>
  <si>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</si>
  <si>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</si>
  <si>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</si>
  <si>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</si>
  <si>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</si>
  <si>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</si>
  <si>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</si>
  <si>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</si>
  <si>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</si>
  <si>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</si>
  <si>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</si>
  <si>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</si>
  <si>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</si>
  <si>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</si>
  <si>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</si>
  <si>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</si>
  <si>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</si>
  <si>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</si>
  <si>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</si>
  <si>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</si>
  <si>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</si>
  <si>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</si>
  <si>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</si>
  <si>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</si>
  <si>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</si>
  <si>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</si>
  <si>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</si>
  <si>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</si>
  <si>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</si>
  <si>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</si>
  <si>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</si>
  <si>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</si>
  <si>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</si>
  <si>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</si>
  <si>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</si>
  <si>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</si>
  <si>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</si>
  <si>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</si>
  <si>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</si>
  <si>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</si>
  <si>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</si>
  <si>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</si>
  <si>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</si>
  <si>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</si>
  <si>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</si>
  <si>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</si>
  <si>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</si>
  <si>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</si>
  <si>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</si>
  <si>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CATALUÑA</t>
  </si>
  <si>
    <t>Provincias</t>
  </si>
  <si>
    <t>TARRAGONA</t>
  </si>
  <si>
    <t>Resumenes por Partidos Judiciales</t>
  </si>
  <si>
    <t>EL VENDRELL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</si>
</sst>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knOWzOqOvb2A6L3oyOJv6hrkod/63pW7VwwhS0rfyGFaX2EeREgBpl6R9lMaQqrecaiXTW22IWA3nUeKxQnKnw==" saltValue="ppBsEx7Nc8IooXQsDXnE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CATALUÑA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104</v>
      </c>
      <c r="D10" s="228">
        <f>IF(ISNUMBER(Datos!I10),Datos!I10," - ")</f>
        <v>104</v>
      </c>
      <c r="E10" s="229">
        <f>IF(ISNUMBER(Datos!J10),Datos!J10," - ")</f>
        <v>33</v>
      </c>
      <c r="F10" s="229">
        <f>IF(ISNUMBER(Datos!K10),Datos!K10," - ")</f>
        <v>35</v>
      </c>
      <c r="G10" s="1037" t="str">
        <f>IF(Datos!E10&lt;&gt;"",Datos!E10,Datos!D10)</f>
        <v>37</v>
      </c>
      <c r="H10" s="230">
        <f>IF(ISNUMBER(Datos!L10),Datos!L10," - ")</f>
        <v>102</v>
      </c>
      <c r="I10" s="1047" t="str">
        <f>IF(ISNUMBER(Datos!AS10/Datos!BM10),Datos!AS10/Datos!BM10," - ")</f>
        <v xml:space="preserve"> - </v>
      </c>
      <c r="J10" s="1048">
        <f>IF(ISNUMBER(Datos!BY10/Datos!CN10),Datos!BY10/Datos!CN10," - ")</f>
        <v>0</v>
      </c>
      <c r="K10" s="233">
        <f t="shared" ref="K10:K12" si="1">IF(ISNUMBER((E10-F10)/C10),(E10-F10)/C10," - ")</f>
        <v>-1.9230769230769232E-2</v>
      </c>
      <c r="L10" s="1028">
        <f>IF(ISNUMBER(NºAsuntos!I10/NºAsuntos!G10),(NºAsuntos!I10/NºAsuntos!G10)*11," - ")</f>
        <v>32.057142857142857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9</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34.673519736842103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104</v>
      </c>
      <c r="D13" s="1052">
        <f>SUBTOTAL(9,D9:D12)</f>
        <v>104</v>
      </c>
      <c r="E13" s="1053">
        <f>SUBTOTAL(9,E9:E12)</f>
        <v>33</v>
      </c>
      <c r="F13" s="1054">
        <f>SUBTOTAL(9,F9:F12)</f>
        <v>35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9</v>
      </c>
      <c r="B16" s="505" t="str">
        <f>Datos!A16</f>
        <v xml:space="preserve">Jdos. 1ª Instª. e Instr.                        </v>
      </c>
      <c r="C16" s="228">
        <f t="shared" si="2"/>
        <v>4355</v>
      </c>
      <c r="D16" s="228">
        <f>IF(ISNUMBER(IF(D_I="SI",Datos!I16,Datos!I16+Datos!AC16)),IF(D_I="SI",Datos!I16,Datos!I16+Datos!AC16)," - ")</f>
        <v>4333</v>
      </c>
      <c r="E16" s="229">
        <f>IF(ISNUMBER(IF(D_I="SI",Datos!J16,Datos!J16+Datos!AD16)),IF(D_I="SI",Datos!J16,Datos!J16+Datos!AD16)," - ")</f>
        <v>2429</v>
      </c>
      <c r="F16" s="229">
        <f>IF(ISNUMBER(IF(D_I="SI",Datos!K16,Datos!K16+Datos!AE16)),IF(D_I="SI",Datos!K16,Datos!K16+Datos!AE16)," - ")</f>
        <v>2328</v>
      </c>
      <c r="G16" s="1037" t="str">
        <f>IF(Datos!E16&lt;&gt;"",Datos!E16,Datos!D16)</f>
        <v>04</v>
      </c>
      <c r="H16" s="230">
        <f>IF(ISNUMBER(IF(D_I="SI",Datos!L16,Datos!L16+Datos!AF16)),IF(D_I="SI",Datos!L16,Datos!L16+Datos!AF16)," - ")</f>
        <v>4456</v>
      </c>
      <c r="I16" s="1047" t="str">
        <f>IF(ISNUMBER(Datos!AS16/Datos!BM16),Datos!AS16/Datos!BM16," - ")</f>
        <v xml:space="preserve"> - </v>
      </c>
      <c r="J16" s="1048">
        <f>IF(ISNUMBER(Datos!BY16/Datos!CN16),Datos!BY16/Datos!CN16," - ")</f>
        <v>0</v>
      </c>
      <c r="K16" s="233">
        <f t="shared" si="3"/>
        <v>2.3191733639494835E-2</v>
      </c>
      <c r="L16" s="1028">
        <f>IF(ISNUMBER(NºAsuntos!I16/NºAsuntos!G16),(NºAsuntos!I16/NºAsuntos!G16)*11," - ")</f>
        <v>21.054982817869416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104</v>
      </c>
      <c r="D17" s="228">
        <f>IF(ISNUMBER(IF(D_I="SI",Datos!I17,Datos!I17+Datos!AC17)),IF(D_I="SI",Datos!I17,Datos!I17+Datos!AC17)," - ")</f>
        <v>95</v>
      </c>
      <c r="E17" s="229">
        <f>IF(ISNUMBER(IF(D_I="SI",Datos!J17,Datos!J17+Datos!AD17)),IF(D_I="SI",Datos!J17,Datos!J17+Datos!AD17)," - ")</f>
        <v>294</v>
      </c>
      <c r="F17" s="229">
        <f>IF(ISNUMBER(IF(D_I="SI",Datos!K17,Datos!K17+Datos!AE17)),IF(D_I="SI",Datos!K17,Datos!K17+Datos!AE17)," - ")</f>
        <v>285</v>
      </c>
      <c r="G17" s="1037" t="str">
        <f>IF(Datos!E17&lt;&gt;"",Datos!E17,Datos!D17)</f>
        <v>37</v>
      </c>
      <c r="H17" s="230">
        <f>IF(ISNUMBER(IF(D_I="SI",Datos!L17,Datos!L17+Datos!AF17)),IF(D_I="SI",Datos!L17,Datos!L17+Datos!AF17)," - ")</f>
        <v>113</v>
      </c>
      <c r="I17" s="1047" t="str">
        <f>IF(ISNUMBER(Datos!AS17/Datos!BM17),Datos!AS17/Datos!BM17," - ")</f>
        <v xml:space="preserve"> - </v>
      </c>
      <c r="J17" s="1048" t="str">
        <f>IF(ISNUMBER((Datos!BY17+Datos!BZ17)/Datos!CN17),(Datos!BY17+Datos!BZ17)/Datos!CN17," - ")</f>
        <v xml:space="preserve"> - </v>
      </c>
      <c r="K17" s="233">
        <f t="shared" si="3"/>
        <v>8.6538461538461536E-2</v>
      </c>
      <c r="L17" s="1028">
        <f>IF(ISNUMBER(NºAsuntos!I17/NºAsuntos!G17),(NºAsuntos!I17/NºAsuntos!G17)*11," - ")</f>
        <v>4.3614035087719296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4459</v>
      </c>
      <c r="D18" s="1052">
        <f>SUBTOTAL(9,D15:D17)</f>
        <v>4428</v>
      </c>
      <c r="E18" s="1053">
        <f>SUBTOTAL(9,E15:E17)</f>
        <v>2723</v>
      </c>
      <c r="F18" s="1053">
        <f>SUBTOTAL(9,F15:F17)</f>
        <v>2613</v>
      </c>
      <c r="G18" s="1055" t="str">
        <f ca="1">INDIRECT(CONCATENATE("G",ROW()-1))</f>
        <v>37</v>
      </c>
      <c r="H18" s="1056">
        <f ca="1">SUMIF(G$14:G17,G18,H$14:H17)</f>
        <v>113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4563</v>
      </c>
      <c r="D19" s="1074">
        <f>SUBTOTAL(9,D9:D18)</f>
        <v>4532</v>
      </c>
      <c r="E19" s="1075">
        <f>SUBTOTAL(9,E9:E18)</f>
        <v>2756</v>
      </c>
      <c r="F19" s="1075">
        <f>SUBTOTAL(9,F9:F18)</f>
        <v>2648</v>
      </c>
      <c r="G19" s="1076"/>
      <c r="H19" s="1077">
        <f ca="1">SUMIF(B9:B18,"TOTAL",H9:H18)</f>
        <v>113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tT4oX59ixDq8VbjuMhT90Nf0GpyiOpVbxV4MpKPRgbJF85mzPdCGAfYdCn/E99RRFMi6jQAx8Qq3pJUwZMotRg==" saltValue="3lQjtcvBUIaef+G3JcFj2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iNuLTmbx9Km6osgB5AIkhuRHJ3O7OqkMAhswnBZ/X/inMsX3aC44kroiuBHs3AcmBDLQJKzhyeEixYSJdw3aw==" saltValue="RL8jesa0KKsXnhmGFTJn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104</v>
      </c>
      <c r="J10" s="184">
        <v>33</v>
      </c>
      <c r="K10" s="184">
        <v>35</v>
      </c>
      <c r="L10" s="184">
        <v>102</v>
      </c>
      <c r="M10" s="184">
        <v>13</v>
      </c>
      <c r="N10" s="184">
        <v>16</v>
      </c>
      <c r="O10" s="184">
        <v>7</v>
      </c>
      <c r="P10" s="184">
        <v>5</v>
      </c>
      <c r="Q10" s="184">
        <v>1</v>
      </c>
      <c r="R10" s="184">
        <v>101</v>
      </c>
      <c r="S10" s="184">
        <v>79</v>
      </c>
      <c r="T10" s="184">
        <v>38</v>
      </c>
      <c r="U10" s="184">
        <v>34</v>
      </c>
      <c r="V10" s="184">
        <v>83</v>
      </c>
      <c r="W10" s="184">
        <v>15</v>
      </c>
      <c r="X10" s="191">
        <v>12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798</v>
      </c>
      <c r="AT10" s="195"/>
      <c r="AU10" s="203"/>
      <c r="AV10" s="195"/>
      <c r="AW10" s="203"/>
      <c r="AX10" s="195"/>
      <c r="AY10" s="128">
        <f t="shared" ref="AY10:BC10" si="0">IF(ISNUMBER(S10),S10," - ")</f>
        <v>79</v>
      </c>
      <c r="AZ10" s="129">
        <f t="shared" si="0"/>
        <v>38</v>
      </c>
      <c r="BA10" s="129">
        <f t="shared" si="0"/>
        <v>34</v>
      </c>
      <c r="BB10" s="129">
        <f t="shared" si="0"/>
        <v>83</v>
      </c>
      <c r="BC10" s="125">
        <f t="shared" si="0"/>
        <v>15</v>
      </c>
      <c r="BD10" s="126">
        <f>IF(ISNUMBER(BA10/AZ10),BA10/AZ10," - ")</f>
        <v>0.89473684210526316</v>
      </c>
      <c r="BE10" s="127">
        <f>IF(ISNUMBER(BB10/BA10),BB10/BA10, " - ")</f>
        <v>2.4411764705882355</v>
      </c>
      <c r="BF10" s="127">
        <f>IF(ISNUMBER(BC10/BA10),BC10/BA10, " - ")</f>
        <v>0.44117647058823528</v>
      </c>
      <c r="BG10" s="199">
        <f>IF(ISNUMBER((AY10+AZ10)/BA10),(AY10+AZ10)/BA10," - ")</f>
        <v>3.4411764705882355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6743</v>
      </c>
      <c r="J12" s="186">
        <v>2999</v>
      </c>
      <c r="K12" s="186">
        <v>2265</v>
      </c>
      <c r="L12" s="186">
        <v>7473</v>
      </c>
      <c r="M12" s="186">
        <v>542</v>
      </c>
      <c r="N12" s="186">
        <v>923</v>
      </c>
      <c r="O12" s="184">
        <v>1356</v>
      </c>
      <c r="P12" s="186">
        <v>765</v>
      </c>
      <c r="Q12" s="186">
        <v>675</v>
      </c>
      <c r="R12" s="186">
        <v>14295</v>
      </c>
      <c r="S12" s="186">
        <v>6914</v>
      </c>
      <c r="T12" s="186">
        <v>2424</v>
      </c>
      <c r="U12" s="186">
        <v>2584</v>
      </c>
      <c r="V12" s="186">
        <v>6763</v>
      </c>
      <c r="W12" s="186">
        <v>585</v>
      </c>
      <c r="X12" s="192">
        <v>1054</v>
      </c>
      <c r="Y12" s="194">
        <v>209</v>
      </c>
      <c r="Z12" s="184">
        <v>151</v>
      </c>
      <c r="AA12" s="184">
        <v>167</v>
      </c>
      <c r="AB12" s="184">
        <v>193</v>
      </c>
      <c r="AC12" s="186">
        <v>0</v>
      </c>
      <c r="AD12" s="186">
        <v>0</v>
      </c>
      <c r="AE12" s="186">
        <v>0</v>
      </c>
      <c r="AF12" s="192">
        <v>0</v>
      </c>
      <c r="AG12" s="205">
        <v>172</v>
      </c>
      <c r="AH12" s="186">
        <v>211</v>
      </c>
      <c r="AI12" s="186">
        <v>172</v>
      </c>
      <c r="AJ12" s="206">
        <v>211</v>
      </c>
      <c r="AK12" s="185">
        <v>0</v>
      </c>
      <c r="AL12" s="186">
        <v>0</v>
      </c>
      <c r="AM12" s="186">
        <v>0</v>
      </c>
      <c r="AN12" s="192">
        <v>0</v>
      </c>
      <c r="AO12" s="262">
        <v>9</v>
      </c>
      <c r="AP12" s="158">
        <v>9</v>
      </c>
      <c r="AQ12" s="158">
        <v>9</v>
      </c>
      <c r="AR12" s="157">
        <v>9</v>
      </c>
      <c r="AS12" s="343" t="s">
        <v>807</v>
      </c>
      <c r="AT12" s="206"/>
      <c r="AU12" s="205"/>
      <c r="AV12" s="206"/>
      <c r="AW12" s="205"/>
      <c r="AX12" s="206"/>
      <c r="AY12" s="126">
        <f t="shared" si="1"/>
        <v>7086</v>
      </c>
      <c r="AZ12" s="127">
        <f t="shared" si="1"/>
        <v>2635</v>
      </c>
      <c r="BA12" s="127">
        <f t="shared" si="1"/>
        <v>2756</v>
      </c>
      <c r="BB12" s="127">
        <f t="shared" si="1"/>
        <v>6974</v>
      </c>
      <c r="BC12" s="125">
        <f>IF(ISNUMBER(X12),X12," - ")</f>
        <v>1054</v>
      </c>
      <c r="BD12" s="126">
        <f t="shared" si="2"/>
        <v>1.0459203036053131</v>
      </c>
      <c r="BE12" s="127">
        <f t="shared" si="3"/>
        <v>2.5304789550072568</v>
      </c>
      <c r="BF12" s="127">
        <f t="shared" si="4"/>
        <v>0.38243831640058057</v>
      </c>
      <c r="BG12" s="199">
        <f t="shared" si="5"/>
        <v>3.5272133526850507</v>
      </c>
      <c r="BH12" s="158">
        <v>9</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6847</v>
      </c>
      <c r="J13" s="187">
        <f t="shared" si="6"/>
        <v>3032</v>
      </c>
      <c r="K13" s="187">
        <f t="shared" si="6"/>
        <v>2300</v>
      </c>
      <c r="L13" s="187">
        <f t="shared" si="6"/>
        <v>7575</v>
      </c>
      <c r="M13" s="187">
        <f t="shared" si="6"/>
        <v>555</v>
      </c>
      <c r="N13" s="187">
        <f t="shared" si="6"/>
        <v>939</v>
      </c>
      <c r="O13" s="187">
        <f t="shared" si="6"/>
        <v>1363</v>
      </c>
      <c r="P13" s="187">
        <f t="shared" si="6"/>
        <v>770</v>
      </c>
      <c r="Q13" s="187">
        <f t="shared" si="6"/>
        <v>676</v>
      </c>
      <c r="R13" s="187">
        <f t="shared" si="6"/>
        <v>14396</v>
      </c>
      <c r="S13" s="187">
        <f t="shared" si="6"/>
        <v>6993</v>
      </c>
      <c r="T13" s="187">
        <f t="shared" si="6"/>
        <v>2462</v>
      </c>
      <c r="U13" s="187">
        <f t="shared" si="6"/>
        <v>2618</v>
      </c>
      <c r="V13" s="187">
        <f t="shared" si="6"/>
        <v>6846</v>
      </c>
      <c r="W13" s="187">
        <f t="shared" si="6"/>
        <v>600</v>
      </c>
      <c r="X13" s="187">
        <f t="shared" si="6"/>
        <v>1066</v>
      </c>
      <c r="Y13" s="187">
        <f t="shared" si="6"/>
        <v>209</v>
      </c>
      <c r="Z13" s="187">
        <f t="shared" si="6"/>
        <v>151</v>
      </c>
      <c r="AA13" s="187">
        <f t="shared" si="6"/>
        <v>167</v>
      </c>
      <c r="AB13" s="187">
        <f t="shared" si="6"/>
        <v>193</v>
      </c>
      <c r="AC13" s="187">
        <f t="shared" si="6"/>
        <v>0</v>
      </c>
      <c r="AD13" s="187">
        <f t="shared" si="6"/>
        <v>0</v>
      </c>
      <c r="AE13" s="187">
        <f t="shared" si="6"/>
        <v>0</v>
      </c>
      <c r="AF13" s="187">
        <f>SUBTOTAL(9,AF9:AF12)</f>
        <v>0</v>
      </c>
      <c r="AG13" s="187">
        <f t="shared" ref="AG13:AT13" si="7">SUBTOTAL(9,AG8:AG12)</f>
        <v>172</v>
      </c>
      <c r="AH13" s="187">
        <f t="shared" si="7"/>
        <v>211</v>
      </c>
      <c r="AI13" s="187">
        <f t="shared" si="7"/>
        <v>172</v>
      </c>
      <c r="AJ13" s="187">
        <f t="shared" si="7"/>
        <v>211</v>
      </c>
      <c r="AK13" s="187">
        <f t="shared" si="7"/>
        <v>0</v>
      </c>
      <c r="AL13" s="187">
        <f t="shared" si="7"/>
        <v>0</v>
      </c>
      <c r="AM13" s="187">
        <f t="shared" si="7"/>
        <v>0</v>
      </c>
      <c r="AN13" s="187">
        <f t="shared" si="7"/>
        <v>0</v>
      </c>
      <c r="AO13" s="187">
        <f t="shared" si="7"/>
        <v>10</v>
      </c>
      <c r="AP13" s="187">
        <f t="shared" si="7"/>
        <v>10</v>
      </c>
      <c r="AQ13" s="187">
        <f t="shared" si="7"/>
        <v>10</v>
      </c>
      <c r="AR13" s="187">
        <f t="shared" si="7"/>
        <v>10</v>
      </c>
      <c r="AS13" s="187">
        <f t="shared" si="7"/>
        <v>0</v>
      </c>
      <c r="AT13" s="187">
        <f t="shared" si="7"/>
        <v>0</v>
      </c>
      <c r="AU13" s="207"/>
      <c r="AV13" s="132"/>
      <c r="AW13" s="207"/>
      <c r="AX13" s="132"/>
      <c r="AY13" s="187">
        <f>SUBTOTAL(9,AY8:AY12)</f>
        <v>7165</v>
      </c>
      <c r="AZ13" s="187">
        <f>SUBTOTAL(9,AZ8:AZ12)</f>
        <v>2673</v>
      </c>
      <c r="BA13" s="187">
        <f>SUBTOTAL(9,BA8:BA12)</f>
        <v>2790</v>
      </c>
      <c r="BB13" s="187">
        <f>SUBTOTAL(9,BB8:BB12)</f>
        <v>7057</v>
      </c>
      <c r="BC13" s="187">
        <f>SUBTOTAL(9,BC8:BC12)</f>
        <v>1069</v>
      </c>
      <c r="BD13" s="208">
        <f>IF(ISNUMBER(BA13/AZ13),BA13/AZ13," - ")</f>
        <v>1.0437710437710437</v>
      </c>
      <c r="BE13" s="209">
        <f>IF(ISNUMBER(BB13/BA13),BB13/BA13, " - ")</f>
        <v>2.5293906810035844</v>
      </c>
      <c r="BF13" s="209">
        <f>IF(ISNUMBER(BC13/BA13),BC13/BA13, " - ")</f>
        <v>0.38315412186379927</v>
      </c>
      <c r="BG13" s="210">
        <f>IF(ISNUMBER((AY13+AZ13)/BA13),(AY13+AZ13)/BA13," - ")</f>
        <v>3.5261648745519714</v>
      </c>
      <c r="BH13" s="143">
        <f>SUBTOTAL(9,BH8:BH12)</f>
        <v>10</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4333</v>
      </c>
      <c r="J16" s="186">
        <v>2429</v>
      </c>
      <c r="K16" s="186">
        <v>2328</v>
      </c>
      <c r="L16" s="186">
        <v>4456</v>
      </c>
      <c r="M16" s="186">
        <v>305</v>
      </c>
      <c r="N16" s="186">
        <v>1269</v>
      </c>
      <c r="O16" s="184">
        <v>31</v>
      </c>
      <c r="P16" s="186">
        <v>48</v>
      </c>
      <c r="Q16" s="186">
        <v>76</v>
      </c>
      <c r="R16" s="186">
        <v>334</v>
      </c>
      <c r="S16" s="186">
        <v>3970</v>
      </c>
      <c r="T16" s="186">
        <v>2271</v>
      </c>
      <c r="U16" s="186">
        <v>2277</v>
      </c>
      <c r="V16" s="186">
        <v>3987</v>
      </c>
      <c r="W16" s="186">
        <v>328</v>
      </c>
      <c r="X16" s="192">
        <v>1138</v>
      </c>
      <c r="Y16" s="205">
        <v>0</v>
      </c>
      <c r="Z16" s="186">
        <v>0</v>
      </c>
      <c r="AA16" s="186">
        <v>0</v>
      </c>
      <c r="AB16" s="186">
        <v>0</v>
      </c>
      <c r="AC16" s="186">
        <v>0</v>
      </c>
      <c r="AD16" s="186">
        <v>60</v>
      </c>
      <c r="AE16" s="186">
        <v>60</v>
      </c>
      <c r="AF16" s="192">
        <v>0</v>
      </c>
      <c r="AG16" s="205">
        <v>0</v>
      </c>
      <c r="AH16" s="186">
        <v>0</v>
      </c>
      <c r="AI16" s="186">
        <v>0</v>
      </c>
      <c r="AJ16" s="206">
        <v>0</v>
      </c>
      <c r="AK16" s="185">
        <v>0</v>
      </c>
      <c r="AL16" s="186">
        <v>46</v>
      </c>
      <c r="AM16" s="186">
        <v>45</v>
      </c>
      <c r="AN16" s="192">
        <v>1</v>
      </c>
      <c r="AO16" s="262">
        <v>9</v>
      </c>
      <c r="AP16" s="158">
        <v>9</v>
      </c>
      <c r="AQ16" s="158">
        <v>9</v>
      </c>
      <c r="AR16" s="158">
        <v>9</v>
      </c>
      <c r="AS16" s="343" t="s">
        <v>491</v>
      </c>
      <c r="AT16" s="206"/>
      <c r="AU16" s="205"/>
      <c r="AV16" s="206"/>
      <c r="AW16" s="205"/>
      <c r="AX16" s="206"/>
      <c r="AY16" s="126">
        <f t="shared" si="9"/>
        <v>3970</v>
      </c>
      <c r="AZ16" s="127">
        <f t="shared" si="9"/>
        <v>2271</v>
      </c>
      <c r="BA16" s="127">
        <f t="shared" si="9"/>
        <v>2277</v>
      </c>
      <c r="BB16" s="127">
        <f t="shared" si="9"/>
        <v>3987</v>
      </c>
      <c r="BC16" s="125">
        <f>IF(ISNUMBER(W16),W16," - ")</f>
        <v>328</v>
      </c>
      <c r="BD16" s="126">
        <f t="shared" ref="BD16" si="11">IF(ISNUMBER(BA16/AZ16),BA16/AZ16," - ")</f>
        <v>1.0026420079260239</v>
      </c>
      <c r="BE16" s="127">
        <f t="shared" ref="BE16" si="12">IF(ISNUMBER(BB16/BA16),BB16/BA16, " - ")</f>
        <v>1.7509881422924902</v>
      </c>
      <c r="BF16" s="127">
        <f t="shared" ref="BF16" si="13">IF(ISNUMBER(BC16/BA16),BC16/BA16, " - ")</f>
        <v>0.14404918752744839</v>
      </c>
      <c r="BG16" s="199">
        <f t="shared" si="10"/>
        <v>2.7408871321914798</v>
      </c>
      <c r="BH16" s="158">
        <v>9</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95</v>
      </c>
      <c r="J17" s="186">
        <v>294</v>
      </c>
      <c r="K17" s="186">
        <v>285</v>
      </c>
      <c r="L17" s="186">
        <v>113</v>
      </c>
      <c r="M17" s="186">
        <v>17</v>
      </c>
      <c r="N17" s="186">
        <v>130</v>
      </c>
      <c r="O17" s="186">
        <v>2</v>
      </c>
      <c r="P17" s="186">
        <v>0</v>
      </c>
      <c r="Q17" s="186">
        <v>2</v>
      </c>
      <c r="R17" s="186">
        <v>6</v>
      </c>
      <c r="S17" s="186">
        <v>101</v>
      </c>
      <c r="T17" s="186">
        <v>212</v>
      </c>
      <c r="U17" s="186">
        <v>235</v>
      </c>
      <c r="V17" s="186">
        <v>83</v>
      </c>
      <c r="W17" s="186">
        <v>10</v>
      </c>
      <c r="X17" s="192">
        <v>113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797</v>
      </c>
      <c r="AT17" s="212"/>
      <c r="AU17" s="203"/>
      <c r="AV17" s="212"/>
      <c r="AW17" s="203"/>
      <c r="AX17" s="212"/>
      <c r="AY17" s="128">
        <f t="shared" ref="AY17:BB17" si="14">IF(ISNUMBER(S17),S17," - ")</f>
        <v>101</v>
      </c>
      <c r="AZ17" s="129">
        <f t="shared" si="14"/>
        <v>212</v>
      </c>
      <c r="BA17" s="129">
        <f t="shared" si="14"/>
        <v>235</v>
      </c>
      <c r="BB17" s="129">
        <f t="shared" si="14"/>
        <v>83</v>
      </c>
      <c r="BC17" s="125">
        <f>IF(ISNUMBER(W17),W17," - ")</f>
        <v>10</v>
      </c>
      <c r="BD17" s="126">
        <f>IF(ISNUMBER(BA17/AZ17),BA17/AZ17," - ")</f>
        <v>1.1084905660377358</v>
      </c>
      <c r="BE17" s="127">
        <f>IF(ISNUMBER(BB17/BA17),BB17/BA17, " - ")</f>
        <v>0.35319148936170214</v>
      </c>
      <c r="BF17" s="127">
        <f>IF(ISNUMBER(BC17/BA17),BC17/BA17, " - ")</f>
        <v>4.2553191489361701E-2</v>
      </c>
      <c r="BG17" s="199">
        <f>IF(ISNUMBER((AY17+AZ17)/BA17),(AY17+AZ17)/BA17," - ")</f>
        <v>1.3319148936170213</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4428</v>
      </c>
      <c r="J18" s="187">
        <f t="shared" si="15"/>
        <v>2723</v>
      </c>
      <c r="K18" s="187">
        <f t="shared" si="15"/>
        <v>2613</v>
      </c>
      <c r="L18" s="187">
        <f t="shared" si="15"/>
        <v>4569</v>
      </c>
      <c r="M18" s="187">
        <f t="shared" si="15"/>
        <v>322</v>
      </c>
      <c r="N18" s="187">
        <f t="shared" si="15"/>
        <v>1399</v>
      </c>
      <c r="O18" s="187">
        <f t="shared" si="15"/>
        <v>33</v>
      </c>
      <c r="P18" s="187">
        <f t="shared" si="15"/>
        <v>48</v>
      </c>
      <c r="Q18" s="187">
        <f t="shared" si="15"/>
        <v>78</v>
      </c>
      <c r="R18" s="187">
        <f t="shared" si="15"/>
        <v>340</v>
      </c>
      <c r="S18" s="187">
        <f t="shared" si="15"/>
        <v>4071</v>
      </c>
      <c r="T18" s="187">
        <f t="shared" si="15"/>
        <v>2483</v>
      </c>
      <c r="U18" s="187">
        <f t="shared" si="15"/>
        <v>2512</v>
      </c>
      <c r="V18" s="187">
        <f t="shared" si="15"/>
        <v>4070</v>
      </c>
      <c r="W18" s="187">
        <f t="shared" si="15"/>
        <v>338</v>
      </c>
      <c r="X18" s="187">
        <f t="shared" si="15"/>
        <v>1251</v>
      </c>
      <c r="Y18" s="187">
        <f t="shared" si="15"/>
        <v>0</v>
      </c>
      <c r="Z18" s="187">
        <f t="shared" si="15"/>
        <v>0</v>
      </c>
      <c r="AA18" s="187">
        <f t="shared" si="15"/>
        <v>0</v>
      </c>
      <c r="AB18" s="187">
        <f t="shared" si="15"/>
        <v>0</v>
      </c>
      <c r="AC18" s="187">
        <f t="shared" si="15"/>
        <v>0</v>
      </c>
      <c r="AD18" s="187">
        <f t="shared" si="15"/>
        <v>60</v>
      </c>
      <c r="AE18" s="187">
        <f t="shared" si="15"/>
        <v>60</v>
      </c>
      <c r="AF18" s="187">
        <f t="shared" si="15"/>
        <v>0</v>
      </c>
      <c r="AG18" s="187">
        <f t="shared" si="15"/>
        <v>0</v>
      </c>
      <c r="AH18" s="187">
        <f t="shared" si="15"/>
        <v>0</v>
      </c>
      <c r="AI18" s="187">
        <f t="shared" si="15"/>
        <v>0</v>
      </c>
      <c r="AJ18" s="187">
        <f t="shared" si="15"/>
        <v>0</v>
      </c>
      <c r="AK18" s="187">
        <f t="shared" si="15"/>
        <v>0</v>
      </c>
      <c r="AL18" s="187">
        <f t="shared" si="15"/>
        <v>46</v>
      </c>
      <c r="AM18" s="187">
        <f t="shared" si="15"/>
        <v>45</v>
      </c>
      <c r="AN18" s="187">
        <f t="shared" si="15"/>
        <v>1</v>
      </c>
      <c r="AO18" s="187">
        <f t="shared" si="15"/>
        <v>10</v>
      </c>
      <c r="AP18" s="187">
        <f t="shared" si="15"/>
        <v>10</v>
      </c>
      <c r="AQ18" s="187">
        <f t="shared" si="15"/>
        <v>10</v>
      </c>
      <c r="AR18" s="187">
        <f t="shared" si="15"/>
        <v>10</v>
      </c>
      <c r="AS18" s="187">
        <f t="shared" si="15"/>
        <v>0</v>
      </c>
      <c r="AT18" s="187">
        <f t="shared" si="15"/>
        <v>0</v>
      </c>
      <c r="AU18" s="207"/>
      <c r="AV18" s="132"/>
      <c r="AW18" s="207"/>
      <c r="AX18" s="132"/>
      <c r="AY18" s="187">
        <f>SUBTOTAL(9,AY14:AY17)</f>
        <v>4071</v>
      </c>
      <c r="AZ18" s="187">
        <f>SUBTOTAL(9,AZ14:AZ17)</f>
        <v>2483</v>
      </c>
      <c r="BA18" s="187">
        <f>SUBTOTAL(9,BA14:BA17)</f>
        <v>2512</v>
      </c>
      <c r="BB18" s="187">
        <f>SUBTOTAL(9,BB14:BB17)</f>
        <v>4070</v>
      </c>
      <c r="BC18" s="187">
        <f>SUBTOTAL(9,BC14:BC17)</f>
        <v>338</v>
      </c>
      <c r="BD18" s="208">
        <f>IF(ISNUMBER(BA18/AZ18),BA18/AZ18," - ")</f>
        <v>1.0116794200563834</v>
      </c>
      <c r="BE18" s="209">
        <f>IF(ISNUMBER(BB18/BA18),BB18/BA18, " - ")</f>
        <v>1.6202229299363058</v>
      </c>
      <c r="BF18" s="209">
        <f>IF(ISNUMBER(BC18/BA18),BC18/BA18, " - ")</f>
        <v>0.13455414012738853</v>
      </c>
      <c r="BG18" s="210">
        <f>IF(ISNUMBER((AY18+AZ18)/BA18),(AY18+AZ18)/BA18," - ")</f>
        <v>2.609076433121019</v>
      </c>
      <c r="BH18" s="187">
        <f>SUBTOTAL(9,BH14:BH17)</f>
        <v>10</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11275</v>
      </c>
      <c r="J19" s="134">
        <f t="shared" si="18"/>
        <v>5755</v>
      </c>
      <c r="K19" s="134">
        <f t="shared" si="18"/>
        <v>4913</v>
      </c>
      <c r="L19" s="134">
        <f t="shared" si="18"/>
        <v>12144</v>
      </c>
      <c r="M19" s="134">
        <f t="shared" si="18"/>
        <v>877</v>
      </c>
      <c r="N19" s="134">
        <f t="shared" si="18"/>
        <v>2338</v>
      </c>
      <c r="O19" s="134">
        <f t="shared" si="18"/>
        <v>1396</v>
      </c>
      <c r="P19" s="134">
        <f t="shared" si="18"/>
        <v>818</v>
      </c>
      <c r="Q19" s="134">
        <f t="shared" si="18"/>
        <v>754</v>
      </c>
      <c r="R19" s="134">
        <f t="shared" si="18"/>
        <v>14736</v>
      </c>
      <c r="S19" s="134">
        <f t="shared" si="18"/>
        <v>11064</v>
      </c>
      <c r="T19" s="134">
        <f t="shared" si="18"/>
        <v>4945</v>
      </c>
      <c r="U19" s="134">
        <f t="shared" si="18"/>
        <v>5130</v>
      </c>
      <c r="V19" s="134">
        <f t="shared" si="18"/>
        <v>10916</v>
      </c>
      <c r="W19" s="134">
        <f t="shared" si="18"/>
        <v>938</v>
      </c>
      <c r="X19" s="134">
        <f t="shared" si="18"/>
        <v>2317</v>
      </c>
      <c r="Y19" s="134">
        <f t="shared" si="18"/>
        <v>209</v>
      </c>
      <c r="Z19" s="134">
        <f t="shared" si="18"/>
        <v>151</v>
      </c>
      <c r="AA19" s="134">
        <f t="shared" si="18"/>
        <v>167</v>
      </c>
      <c r="AB19" s="134">
        <f t="shared" si="18"/>
        <v>193</v>
      </c>
      <c r="AC19" s="134">
        <f t="shared" si="18"/>
        <v>0</v>
      </c>
      <c r="AD19" s="134">
        <f t="shared" si="18"/>
        <v>60</v>
      </c>
      <c r="AE19" s="134">
        <f t="shared" si="18"/>
        <v>60</v>
      </c>
      <c r="AF19" s="134">
        <f t="shared" si="18"/>
        <v>0</v>
      </c>
      <c r="AG19" s="134">
        <f t="shared" si="18"/>
        <v>172</v>
      </c>
      <c r="AH19" s="134">
        <f t="shared" si="18"/>
        <v>211</v>
      </c>
      <c r="AI19" s="134">
        <f t="shared" si="18"/>
        <v>172</v>
      </c>
      <c r="AJ19" s="134">
        <f t="shared" si="18"/>
        <v>211</v>
      </c>
      <c r="AK19" s="134">
        <f t="shared" si="18"/>
        <v>0</v>
      </c>
      <c r="AL19" s="134">
        <f t="shared" si="18"/>
        <v>46</v>
      </c>
      <c r="AM19" s="134">
        <f t="shared" si="18"/>
        <v>45</v>
      </c>
      <c r="AN19" s="213">
        <f t="shared" si="18"/>
        <v>1</v>
      </c>
      <c r="AO19" s="214">
        <v>10</v>
      </c>
      <c r="AP19" s="214">
        <v>10</v>
      </c>
      <c r="AQ19" s="214">
        <v>10</v>
      </c>
      <c r="AR19" s="214">
        <v>10</v>
      </c>
      <c r="AS19" s="156">
        <f t="shared" si="18"/>
        <v>0</v>
      </c>
      <c r="AT19" s="156">
        <f t="shared" si="18"/>
        <v>0</v>
      </c>
      <c r="AU19" s="214"/>
      <c r="AV19" s="215"/>
      <c r="AW19" s="214"/>
      <c r="AX19" s="215"/>
      <c r="AY19" s="133">
        <f>SUBTOTAL(9,AY9:AY18)</f>
        <v>11236</v>
      </c>
      <c r="AZ19" s="134">
        <f>SUBTOTAL(9,AZ9:AZ18)</f>
        <v>5156</v>
      </c>
      <c r="BA19" s="134">
        <f>SUBTOTAL(9,BA9:BA18)</f>
        <v>5302</v>
      </c>
      <c r="BB19" s="134">
        <f>SUBTOTAL(9,BB9:BB18)</f>
        <v>11127</v>
      </c>
      <c r="BC19" s="135">
        <f>SUBTOTAL(9,BC9:BC18)</f>
        <v>1407</v>
      </c>
      <c r="BD19" s="216">
        <f>IF(ISNUMBER(BA19/AZ19),BA19/AZ19," - ")</f>
        <v>1.0283165244375485</v>
      </c>
      <c r="BE19" s="213">
        <f>IF(ISNUMBER(BB19/BA19),BB19/BA19, " - ")</f>
        <v>2.0986420218785362</v>
      </c>
      <c r="BF19" s="213">
        <f>IF(ISNUMBER(BC19/BA19),BC19/BA19, " - ")</f>
        <v>0.26537155790267825</v>
      </c>
      <c r="BG19" s="135">
        <f>IF(ISNUMBER((AY19+AZ19)/BA19),(AY19+AZ19)/BA19," - ")</f>
        <v>3.0916635231987928</v>
      </c>
      <c r="BH19" s="214">
        <f>SUBTOTAL(9,BH9:BH18)</f>
        <v>20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9Hx9RsRFEL0cJcd+UAlpte3wCzGvh6ls7LvKeRnA9aydh8+c/psrr5X49I3g3c+/+8eVpGeXFi/wNorSujg8A==" saltValue="rvKkOfkwX63sIs2mrj8NV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0EQXHq3LeR2T7tLQyaGtbO5uEaR/Pfh7PjL9LPXly/NiZ0a/c76e/QK0E3UaxYQffj841mdSei267Q/C4BReg==" saltValue="qUGjyrcoLLIlkWR9hKuLa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TARRAGONA  Resumenes por Partidos Judiciales  EL VENDRELL</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1</v>
      </c>
      <c r="F10" s="228">
        <f>IF(ISNUMBER(Datos!L10+Datos!K10-Datos!J10),Datos!L10+Datos!K10-Datos!J10," - ")</f>
        <v>104</v>
      </c>
      <c r="G10" s="336">
        <f>IF(ISNUMBER(Datos!I10),Datos!I10," - ")</f>
        <v>104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5</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35</v>
      </c>
      <c r="AC10" s="229">
        <f>IF(ISNUMBER(Datos!Q10),Datos!Q10," - ")</f>
        <v>1</v>
      </c>
      <c r="AD10" s="337"/>
      <c r="AE10" s="487"/>
      <c r="AF10" s="335">
        <f>IF(ISNUMBER(Datos!L10),Datos!L10,"-")</f>
        <v>102</v>
      </c>
      <c r="AG10" s="337"/>
      <c r="AH10" s="337"/>
      <c r="AI10" s="337"/>
      <c r="AJ10" s="337"/>
      <c r="AK10" s="337"/>
      <c r="AL10" s="482"/>
      <c r="AM10" s="338">
        <f>IF(ISNUMBER(Datos!R10),Datos!R10," - ")</f>
        <v>101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13</v>
      </c>
      <c r="BD10" s="232">
        <f>IF(ISNUMBER(Datos!N10),Datos!N10," - ")</f>
        <v>16</v>
      </c>
      <c r="BE10" s="232" t="str">
        <f>IF(ISNUMBER(Datos!BW10),Datos!BW10," - ")</f>
        <v xml:space="preserve"> - </v>
      </c>
      <c r="BF10" s="231" t="str">
        <f>IF(ISNUMBER(Datos!BX10),Datos!BX10," - ")</f>
        <v xml:space="preserve"> - </v>
      </c>
      <c r="BG10" s="246">
        <f>IF(ISNUMBER(Datos!K10/Datos!J10),Datos!K10/Datos!J10," - ")</f>
        <v>1.0606060606060606</v>
      </c>
      <c r="BH10" s="263">
        <f>IF(ISNUMBER(((Datos!L10/Datos!K10)*11)/factor_trimestre),((Datos!L10/Datos!K10)*11)/factor_trimestre," - ")</f>
        <v>8.7428571428571438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4.1237113402061855E-2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9</v>
      </c>
      <c r="B12" s="510" t="s">
        <v>249</v>
      </c>
      <c r="C12" s="7" t="str">
        <f>Datos!A12</f>
        <v xml:space="preserve">Jdos. 1ª Instª. e Instr.                        </v>
      </c>
      <c r="D12" s="511"/>
      <c r="E12" s="263">
        <f>IF(ISNUMBER(Datos!AQ12),Datos!AQ12," - ")</f>
        <v>9</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151</v>
      </c>
      <c r="O12" s="337"/>
      <c r="P12" s="337"/>
      <c r="Q12" s="229">
        <f>IF(ISNUMBER(Datos!P12),Datos!P12,0)</f>
        <v>765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675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193</v>
      </c>
      <c r="AI12" s="337" t="str">
        <f>IF(ISNUMBER(Datos!CD12),Datos!CD12,"-")</f>
        <v>-</v>
      </c>
      <c r="AJ12" s="337" t="str">
        <f>IF(ISNUMBER(Datos!EN12),Datos!EN12," - ")</f>
        <v xml:space="preserve"> - </v>
      </c>
      <c r="AK12" s="337"/>
      <c r="AL12" s="482"/>
      <c r="AM12" s="338">
        <f>IF(ISNUMBER(Datos!R12),Datos!R12," - ")</f>
        <v>14295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542</v>
      </c>
      <c r="BD12" s="232">
        <f>IF(ISNUMBER(Datos!N12),Datos!N12," - ")</f>
        <v>923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0.77206349206349212</v>
      </c>
      <c r="BH12" s="263">
        <f>IF(ISNUMBER(((IF(J_V="SI",Datos!L12/Datos!K12,(Datos!L12+Datos!AB12)/(Datos!K12+Datos!AA12)))*11)/factor_trimestre),((IF(J_V="SI",Datos!L12/Datos!K12,(Datos!L12+Datos!AB12)/(Datos!K12+Datos!AA12)))*11)/factor_trimestre," - ")</f>
        <v>9.4564144736842106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6.3357972544878568E-3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10</v>
      </c>
      <c r="F13" s="901">
        <f t="shared" si="0"/>
        <v>104</v>
      </c>
      <c r="G13" s="901">
        <f t="shared" si="0"/>
        <v>104</v>
      </c>
      <c r="H13" s="902">
        <f t="shared" si="0"/>
        <v>0</v>
      </c>
      <c r="I13" s="901">
        <f t="shared" si="0"/>
        <v>0</v>
      </c>
      <c r="J13" s="870">
        <f t="shared" si="0"/>
        <v>0</v>
      </c>
      <c r="K13" s="870">
        <f t="shared" si="0"/>
        <v>0</v>
      </c>
      <c r="L13" s="902">
        <f t="shared" si="0"/>
        <v>0</v>
      </c>
      <c r="M13" s="902">
        <f t="shared" si="0"/>
        <v>0</v>
      </c>
      <c r="N13" s="902">
        <f t="shared" si="0"/>
        <v>151</v>
      </c>
      <c r="O13" s="903">
        <f t="shared" si="0"/>
        <v>0</v>
      </c>
      <c r="P13" s="903">
        <f t="shared" si="0"/>
        <v>0</v>
      </c>
      <c r="Q13" s="902">
        <f t="shared" si="0"/>
        <v>770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35</v>
      </c>
      <c r="AC13" s="902">
        <f t="shared" si="1"/>
        <v>676</v>
      </c>
      <c r="AD13" s="902">
        <f t="shared" si="1"/>
        <v>0</v>
      </c>
      <c r="AE13" s="902">
        <f t="shared" si="1"/>
        <v>0</v>
      </c>
      <c r="AF13" s="902">
        <f t="shared" si="1"/>
        <v>102</v>
      </c>
      <c r="AG13" s="902">
        <f t="shared" si="1"/>
        <v>0</v>
      </c>
      <c r="AH13" s="902">
        <f t="shared" si="1"/>
        <v>193</v>
      </c>
      <c r="AI13" s="902">
        <f t="shared" si="1"/>
        <v>0</v>
      </c>
      <c r="AJ13" s="902">
        <f t="shared" si="1"/>
        <v>0</v>
      </c>
      <c r="AK13" s="902">
        <f t="shared" si="1"/>
        <v>0</v>
      </c>
      <c r="AL13" s="902">
        <f t="shared" si="1"/>
        <v>0</v>
      </c>
      <c r="AM13" s="902">
        <f t="shared" si="1"/>
        <v>14396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555</v>
      </c>
      <c r="BD13" s="902">
        <f t="shared" si="1"/>
        <v>939</v>
      </c>
      <c r="BE13" s="902">
        <f t="shared" si="1"/>
        <v>0</v>
      </c>
      <c r="BF13" s="902">
        <f t="shared" si="1"/>
        <v>0</v>
      </c>
      <c r="BG13" s="902">
        <f>IF(ISNUMBER(Datos!K13/Datos!J13),Datos!K13/Datos!J13," - ")</f>
        <v>0.75857519788918204</v>
      </c>
      <c r="BH13" s="906">
        <f>IF(ISNUMBER(((Datos!L13/Datos!K13)*11)/factor_trimestre),((Datos!L13/Datos!K13)*11)/factor_trimestre," - ")</f>
        <v>9.8804347826086971</v>
      </c>
      <c r="BI13" s="902">
        <f>IF(ISNUMBER('Resol  Asuntos'!D13/NºAsuntos!G13),'Resol  Asuntos'!D13/NºAsuntos!G13," - ")</f>
        <v>0.224969598702878</v>
      </c>
      <c r="BJ13" s="902" t="str">
        <f>IF(ISNUMBER(Datos!CI13/Datos!CJ13),Datos!CI13/Datos!CJ13," - ")</f>
        <v xml:space="preserve"> - </v>
      </c>
      <c r="BK13" s="902">
        <f>SUBTOTAL(9,BK8:BK12)</f>
        <v>0</v>
      </c>
      <c r="BL13" s="902">
        <f>IF(ISNUMBER((I13-AB13+L13)/(F13)),(I13-AB13+L13)/(F13)," - ")</f>
        <v>-0.33653846153846156</v>
      </c>
      <c r="BM13" s="907">
        <f>SUBTOTAL(9,BM9:BM12)</f>
        <v>4.7572910656549713E-2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9</v>
      </c>
      <c r="B16" s="597" t="s">
        <v>400</v>
      </c>
      <c r="C16" s="603" t="str">
        <f>Datos!A16</f>
        <v xml:space="preserve">Jdos. 1ª Instª. e Instr.                        </v>
      </c>
      <c r="D16" s="604"/>
      <c r="E16" s="1168">
        <f>IF(ISNUMBER(Datos!AQ16),Datos!AQ16," - ")</f>
        <v>9</v>
      </c>
      <c r="F16" s="598">
        <f>IF(ISNUMBER(AF16+AB16-Datos!J16-L16),AF16+AB16-Datos!J16-L16," - ")</f>
        <v>4355</v>
      </c>
      <c r="G16" s="601">
        <f>IF(ISNUMBER(IF(D_I="SI",Datos!I16,Datos!I16+Datos!AC16)),IF(D_I="SI",Datos!I16,Datos!I16+Datos!AC16)," - ")</f>
        <v>4333</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2328</v>
      </c>
      <c r="AC16" s="229">
        <f>IF(ISNUMBER(Datos!Q16),Datos!Q16," - ")</f>
        <v>76</v>
      </c>
      <c r="AD16" s="337"/>
      <c r="AE16" s="487"/>
      <c r="AF16" s="599">
        <f>IF(ISNUMBER(IF(D_I="SI",Datos!L16,Datos!L16+Datos!AF16)),IF(D_I="SI",Datos!L16,Datos!L16+Datos!AF16)," - ")</f>
        <v>4456</v>
      </c>
      <c r="AG16" s="337"/>
      <c r="AH16" s="337"/>
      <c r="AI16" s="337"/>
      <c r="AJ16" s="337"/>
      <c r="AK16" s="337"/>
      <c r="AL16" s="482"/>
      <c r="AM16" s="338">
        <f>IF(ISNUMBER(Datos!R16),Datos!R16," - ")</f>
        <v>334</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305</v>
      </c>
      <c r="BD16" s="232">
        <f>IF(ISNUMBER(Datos!N16),Datos!N16," - ")</f>
        <v>1269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0.95841910251132156</v>
      </c>
      <c r="BH16" s="263">
        <f>IF(ISNUMBER(((IF(D_I="SI",Datos!L16/Datos!K16,(Datos!L16+Datos!AF16)/(Datos!K16+Datos!AE16)))*11)/factor_trimestre),((IF(D_I="SI",Datos!L16/Datos!K16,(Datos!L16+Datos!AF16)/(Datos!K16+Datos!AE16)))*11)/factor_trimestre," - ")</f>
        <v>5.7422680412371134</v>
      </c>
      <c r="BI16" s="246">
        <f>IF(ISNUMBER('Resol  Asuntos'!D16/NºAsuntos!G16),'Resol  Asuntos'!D16/NºAsuntos!G16," - ")</f>
        <v>0.13101374570446736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95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285</v>
      </c>
      <c r="AC17" s="229">
        <f>IF(ISNUMBER(Datos!Q17),Datos!Q17," - ")</f>
        <v>2</v>
      </c>
      <c r="AD17" s="337"/>
      <c r="AE17" s="487"/>
      <c r="AF17" s="335">
        <f>IF(ISNUMBER(Datos!L17),Datos!L17,"-")</f>
        <v>113</v>
      </c>
      <c r="AG17" s="337"/>
      <c r="AH17" s="337"/>
      <c r="AI17" s="337"/>
      <c r="AJ17" s="337"/>
      <c r="AK17" s="337"/>
      <c r="AL17" s="482"/>
      <c r="AM17" s="338">
        <f>IF(ISNUMBER(Datos!R17),Datos!R17," - ")</f>
        <v>6</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17</v>
      </c>
      <c r="BD17" s="232">
        <f>IF(ISNUMBER(Datos!N17),Datos!N17," - ")</f>
        <v>130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0.96938775510204078</v>
      </c>
      <c r="BH17" s="263">
        <f>IF(ISNUMBER(((IF(D_I="SI",Datos!L17/Datos!K17,(Datos!L17+Datos!AF17)/(Datos!K17+Datos!AE17)))*11)/factor_trimestre),((IF(D_I="SI",Datos!L17/Datos!K17,(Datos!L17+Datos!AF17)/(Datos!K17+Datos!AE17)))*11)/factor_trimestre," - ")</f>
        <v>1.1894736842105262</v>
      </c>
      <c r="BI17" s="246">
        <f>IF(ISNUMBER('Resol  Asuntos'!D17/NºAsuntos!G17),'Resol  Asuntos'!D17/NºAsuntos!G17," - ")</f>
        <v>5.9649122807017542E-2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10</v>
      </c>
      <c r="F18" s="901">
        <f>SUBTOTAL(9,F15:F17)</f>
        <v>4355</v>
      </c>
      <c r="G18" s="901">
        <f>SUBTOTAL(9,G15:G17)</f>
        <v>4428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2613</v>
      </c>
      <c r="AC18" s="902">
        <f t="shared" si="4"/>
        <v>78</v>
      </c>
      <c r="AD18" s="902">
        <f t="shared" si="4"/>
        <v>0</v>
      </c>
      <c r="AE18" s="902">
        <f t="shared" si="4"/>
        <v>0</v>
      </c>
      <c r="AF18" s="902">
        <f t="shared" si="4"/>
        <v>4569</v>
      </c>
      <c r="AG18" s="902">
        <f t="shared" si="4"/>
        <v>0</v>
      </c>
      <c r="AH18" s="902">
        <f t="shared" si="4"/>
        <v>0</v>
      </c>
      <c r="AI18" s="902">
        <f t="shared" si="4"/>
        <v>0</v>
      </c>
      <c r="AJ18" s="902">
        <f t="shared" si="4"/>
        <v>0</v>
      </c>
      <c r="AK18" s="902">
        <f t="shared" si="4"/>
        <v>0</v>
      </c>
      <c r="AL18" s="902">
        <f t="shared" si="4"/>
        <v>0</v>
      </c>
      <c r="AM18" s="902">
        <f t="shared" si="4"/>
        <v>340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322</v>
      </c>
      <c r="BD18" s="902">
        <f t="shared" si="4"/>
        <v>1399</v>
      </c>
      <c r="BE18" s="902">
        <f t="shared" si="4"/>
        <v>0</v>
      </c>
      <c r="BF18" s="902">
        <f t="shared" si="4"/>
        <v>0</v>
      </c>
      <c r="BG18" s="902">
        <f>IF(ISNUMBER(Datos!K18/Datos!J18),Datos!K18/Datos!J18," - ")</f>
        <v>0.9596033786265149</v>
      </c>
      <c r="BH18" s="906">
        <f>IF(ISNUMBER(((Datos!L18/Datos!K18)*11)/factor_trimestre),((Datos!L18/Datos!K18)*11)/factor_trimestre," - ")</f>
        <v>5.2456946039035595</v>
      </c>
      <c r="BI18" s="902">
        <f>SUBTOTAL(9,BI15:BI17)</f>
        <v>0.1906628685114849</v>
      </c>
      <c r="BJ18" s="902">
        <f>SUBTOTAL(9,BJ15:BJ17)</f>
        <v>0</v>
      </c>
      <c r="BK18" s="902">
        <f>SUBTOTAL(9,BK15:BK17)</f>
        <v>0</v>
      </c>
      <c r="BL18" s="902">
        <f>IF(ISNUMBER((I18-AB18+L18)/(F18)),(I18-AB18+L18)/(F18)," - ")</f>
        <v>-0.6</v>
      </c>
      <c r="BM18" s="908">
        <f>IF(ISNUMBER((Datos!P18-Datos!Q18)/(Datos!R18-Datos!P18+Datos!Q18)),(Datos!P18-Datos!Q18)/(Datos!R18-Datos!P18+Datos!Q18)," - ")</f>
        <v>-8.1081081081081086E-2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20</v>
      </c>
      <c r="F19" s="823">
        <f t="shared" si="6"/>
        <v>4459</v>
      </c>
      <c r="G19" s="823">
        <f t="shared" si="6"/>
        <v>4532</v>
      </c>
      <c r="H19" s="825">
        <f t="shared" si="6"/>
        <v>0</v>
      </c>
      <c r="I19" s="823">
        <f t="shared" si="6"/>
        <v>0</v>
      </c>
      <c r="J19" s="825">
        <f t="shared" si="6"/>
        <v>0</v>
      </c>
      <c r="K19" s="825">
        <f t="shared" si="6"/>
        <v>0</v>
      </c>
      <c r="L19" s="884">
        <f t="shared" si="6"/>
        <v>0</v>
      </c>
      <c r="M19" s="884">
        <f t="shared" si="6"/>
        <v>0</v>
      </c>
      <c r="N19" s="884">
        <f t="shared" si="6"/>
        <v>151</v>
      </c>
      <c r="O19" s="884">
        <f t="shared" si="6"/>
        <v>0</v>
      </c>
      <c r="P19" s="884">
        <f t="shared" si="6"/>
        <v>0</v>
      </c>
      <c r="Q19" s="825">
        <f t="shared" si="6"/>
        <v>818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2648</v>
      </c>
      <c r="AC19" s="824">
        <f t="shared" si="7"/>
        <v>754</v>
      </c>
      <c r="AD19" s="824">
        <f t="shared" si="7"/>
        <v>0</v>
      </c>
      <c r="AE19" s="824">
        <f t="shared" si="7"/>
        <v>0</v>
      </c>
      <c r="AF19" s="831">
        <f t="shared" si="7"/>
        <v>4671</v>
      </c>
      <c r="AG19" s="831">
        <f t="shared" si="7"/>
        <v>0</v>
      </c>
      <c r="AH19" s="831">
        <f t="shared" si="7"/>
        <v>193</v>
      </c>
      <c r="AI19" s="831">
        <f t="shared" si="7"/>
        <v>0</v>
      </c>
      <c r="AJ19" s="824">
        <f t="shared" si="7"/>
        <v>0</v>
      </c>
      <c r="AK19" s="831">
        <f t="shared" si="7"/>
        <v>0</v>
      </c>
      <c r="AL19" s="831">
        <f t="shared" si="7"/>
        <v>0</v>
      </c>
      <c r="AM19" s="831">
        <f t="shared" si="7"/>
        <v>14736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877</v>
      </c>
      <c r="BD19" s="823">
        <f t="shared" si="7"/>
        <v>2338</v>
      </c>
      <c r="BE19" s="823">
        <f t="shared" si="7"/>
        <v>0</v>
      </c>
      <c r="BF19" s="833">
        <f t="shared" si="7"/>
        <v>0</v>
      </c>
      <c r="BG19" s="918">
        <f>IF(ISNUMBER(Datos!K19/Datos!J19),Datos!K19/Datos!J19," - ")</f>
        <v>0.85369244135534317</v>
      </c>
      <c r="BH19" s="918">
        <f>IF(ISNUMBER(((Datos!L19/Datos!K19)*11)/factor_trimestre),((Datos!L19/Datos!K19)*11)/factor_trimestre," - ")</f>
        <v>7.4154284551190717</v>
      </c>
      <c r="BI19" s="816">
        <f>IF(ISNUMBER(Datos!J19/Datos!I19),Datos!J19/Datos!I19," - ")</f>
        <v>0.51042128603104209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-0.59385512446736932</v>
      </c>
      <c r="BM19" s="892">
        <f>IF(ISNUMBER((Datos!P19-Datos!Q19+R19)/(Datos!R19-Datos!P19+Datos!Q19-R19)),(Datos!P19-Datos!Q19+R19)/(Datos!R19-Datos!P19+Datos!Q19-R19)," - ")</f>
        <v>4.3620501635768813E-3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1812.8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4.8247049420433763</v>
      </c>
      <c r="F21" s="554">
        <f>IF(ISNUMBER(STDEV(F8:F18)),STDEV(F8:F18),"-")</f>
        <v>2454.3159943250989</v>
      </c>
      <c r="G21" s="555">
        <f>IF(ISNUMBER(STDEV(G8:G18)),STDEV(G8:G18),"-")</f>
        <v>2344.2221951001147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1296.2932538588634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239.25021769408417</v>
      </c>
      <c r="BD21" s="554"/>
      <c r="BE21" s="554">
        <f>IF(ISNUMBER(STDEV(BE8:BE18)),STDEV(BE8:BE18),"-")</f>
        <v>0</v>
      </c>
      <c r="BF21" s="559">
        <f>IF(ISNUMBER(STDEV(BF8:BF18)),STDEV(BF8:BF18),"-")</f>
        <v>0</v>
      </c>
      <c r="BG21" s="778">
        <f>IF(ISNUMBER(STDEV(BG8:BG18)),STDEV(BG8:BG18),"-")</f>
        <v>0.12075756299333569</v>
      </c>
      <c r="BH21" s="779">
        <f>IF(ISNUMBER(STDEV(BH8:BH18)),STDEV(BH8:BH18),"-")</f>
        <v>3.3251725433429202</v>
      </c>
      <c r="BI21" s="252">
        <f>IF(ISNUMBER(STDEV(BI8:BI18)),STDEV(BI8:BI18),"-")</f>
        <v>7.2543689488917887E-2</v>
      </c>
      <c r="BJ21" s="233" t="str">
        <f>IF(ISNUMBER(BL21/BM21),BL21/BM21," - ")</f>
        <v xml:space="preserve"> - </v>
      </c>
      <c r="BK21" s="578"/>
      <c r="BL21" s="562">
        <f>IF(ISNUMBER(STDEV(BL8:BL18)),STDEV(BL8:BL18),"-")</f>
        <v>0.18629544042799415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3s2D4vlruwoBLfldcIyHR0uZaFtwo9nCQXVIwVBUM6uXFdcwc+qgZKaM57o3Ku+f9pRGU1FCH7Zd1KuKGigfgQ==" saltValue="p4+Nhq/9gcrT4GfebsGJo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TARRAGONA  Resumenes por Partidos Judiciales  EL VENDRELL</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1</v>
      </c>
      <c r="F10" s="228">
        <f>IF(ISNUMBER(Datos!L10+Datos!K10-Datos!J10),Datos!L10+Datos!K10-Datos!J10," - ")</f>
        <v>104</v>
      </c>
      <c r="G10" s="228">
        <f>IF(ISNUMBER(Datos!I10),Datos!I10," - ")</f>
        <v>104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5</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35</v>
      </c>
      <c r="Z10" s="622">
        <f>IF(ISNUMBER(Datos!Q10),Datos!Q10," - ")</f>
        <v>1</v>
      </c>
      <c r="AA10" s="335">
        <f>IF(ISNUMBER(Datos!L10),Datos!L10,"-")</f>
        <v>102</v>
      </c>
      <c r="AB10" s="337"/>
      <c r="AC10" s="337"/>
      <c r="AD10" s="487"/>
      <c r="AE10" s="487">
        <f>IF(ISNUMBER(Datos!R10),Datos!R10," - ")</f>
        <v>101</v>
      </c>
      <c r="AF10" s="232" t="str">
        <f>IF(ISNUMBER(Datos!BV10),Datos!BV10," - ")</f>
        <v xml:space="preserve"> - </v>
      </c>
      <c r="AG10" s="228" t="str">
        <f>IF(ISNUMBER(Datos!DV10),Datos!DV10," - ")</f>
        <v xml:space="preserve"> - </v>
      </c>
      <c r="AH10" s="301"/>
      <c r="AI10" s="230"/>
      <c r="AJ10" s="228">
        <f>IF(ISNUMBER(Datos!M10),Datos!M10," - ")</f>
        <v>13</v>
      </c>
      <c r="AK10" s="232">
        <f>IF(ISNUMBER(Datos!N10),Datos!N10," - ")</f>
        <v>16</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8.7428571428571438</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4.1237113402061855E-2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9</v>
      </c>
      <c r="B12" s="510" t="s">
        <v>249</v>
      </c>
      <c r="C12" s="7" t="str">
        <f>Datos!A12</f>
        <v xml:space="preserve">Jdos. 1ª Instª. e Instr.                        </v>
      </c>
      <c r="D12" s="511"/>
      <c r="E12" s="1171">
        <f>IF(ISNUMBER(Datos!AQ12),Datos!AQ12," - ")</f>
        <v>9</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765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675</v>
      </c>
      <c r="AA12" s="335" t="str">
        <f>IF(ISNUMBER(IF(J_V="SI",Datos!L12,Datos!L12+Datos!AB12)-IF(Monitorios="SI",Datos!CD12,0)),
                          IF(J_V="SI",Datos!L12,Datos!L12+Datos!AB12)-IF(Monitorios="SI",Datos!CD12,0),
                          " - ")</f>
        <v xml:space="preserve"> - </v>
      </c>
      <c r="AB12" s="337"/>
      <c r="AC12" s="337"/>
      <c r="AD12" s="487"/>
      <c r="AE12" s="487">
        <f>IF(ISNUMBER(Datos!R12),Datos!R12," - ")</f>
        <v>14295</v>
      </c>
      <c r="AF12" s="232" t="str">
        <f>IF(ISNUMBER(Datos!BV12),Datos!BV12," - ")</f>
        <v xml:space="preserve"> - </v>
      </c>
      <c r="AG12" s="228" t="str">
        <f>IF(ISNUMBER(Datos!DV12),Datos!DV12," - ")</f>
        <v xml:space="preserve"> - </v>
      </c>
      <c r="AH12" s="301"/>
      <c r="AI12" s="230"/>
      <c r="AJ12" s="228">
        <f>IF(ISNUMBER(Datos!M12),Datos!M12," - ")</f>
        <v>542</v>
      </c>
      <c r="AK12" s="232">
        <f>IF(ISNUMBER(Datos!N12),Datos!N12," - ")</f>
        <v>923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9.4564144736842106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6.3357972544878568E-3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10</v>
      </c>
      <c r="F13" s="901">
        <f>SUBTOTAL(9,F8:F12)</f>
        <v>104</v>
      </c>
      <c r="G13" s="901">
        <f>SUBTOTAL(9,G8:G12)</f>
        <v>104</v>
      </c>
      <c r="H13" s="911"/>
      <c r="I13" s="901">
        <f t="shared" ref="I13:N13" si="0">SUBTOTAL(9,I8:I12)</f>
        <v>0</v>
      </c>
      <c r="J13" s="870">
        <f t="shared" si="0"/>
        <v>0</v>
      </c>
      <c r="K13" s="911">
        <f t="shared" si="0"/>
        <v>0</v>
      </c>
      <c r="L13" s="911">
        <f t="shared" si="0"/>
        <v>0</v>
      </c>
      <c r="M13" s="911">
        <f t="shared" si="0"/>
        <v>0</v>
      </c>
      <c r="N13" s="911">
        <f t="shared" si="0"/>
        <v>770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35</v>
      </c>
      <c r="Z13" s="910">
        <f t="shared" si="2"/>
        <v>676</v>
      </c>
      <c r="AA13" s="903">
        <f t="shared" si="2"/>
        <v>102</v>
      </c>
      <c r="AB13" s="903">
        <f t="shared" si="2"/>
        <v>0</v>
      </c>
      <c r="AC13" s="903">
        <f t="shared" si="2"/>
        <v>0</v>
      </c>
      <c r="AD13" s="903">
        <f t="shared" si="2"/>
        <v>0</v>
      </c>
      <c r="AE13" s="903">
        <f t="shared" si="2"/>
        <v>14396</v>
      </c>
      <c r="AF13" s="911">
        <f t="shared" si="2"/>
        <v>0</v>
      </c>
      <c r="AG13" s="911">
        <f t="shared" si="2"/>
        <v>0</v>
      </c>
      <c r="AH13" s="911">
        <f t="shared" si="2"/>
        <v>0</v>
      </c>
      <c r="AI13" s="911">
        <f t="shared" si="2"/>
        <v>0</v>
      </c>
      <c r="AJ13" s="911">
        <f t="shared" si="2"/>
        <v>555</v>
      </c>
      <c r="AK13" s="911">
        <f t="shared" si="2"/>
        <v>939</v>
      </c>
      <c r="AL13" s="911">
        <f t="shared" si="2"/>
        <v>0</v>
      </c>
      <c r="AM13" s="911">
        <f t="shared" si="2"/>
        <v>0</v>
      </c>
      <c r="AN13" s="911">
        <f t="shared" si="2"/>
        <v>0</v>
      </c>
      <c r="AO13" s="907">
        <f>IF(ISNUMBER(((NºAsuntos!I13/NºAsuntos!G13)*11)/factor_trimestre),((NºAsuntos!I13/NºAsuntos!G13)*11)/factor_trimestre," - ")</f>
        <v>9.446291041751115</v>
      </c>
      <c r="AP13" s="913" t="str">
        <f>IF(ISNUMBER(Datos!CI13/Datos!CJ13),Datos!CI13/Datos!CJ13," - ")</f>
        <v xml:space="preserve"> - </v>
      </c>
      <c r="AQ13" s="931">
        <f t="shared" ref="AQ13:AV13" si="3">SUBTOTAL(9,AQ9:AQ12)</f>
        <v>0</v>
      </c>
      <c r="AR13" s="931">
        <f t="shared" si="3"/>
        <v>4.7572910656549713E-2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9</v>
      </c>
      <c r="B16" s="510" t="s">
        <v>400</v>
      </c>
      <c r="C16" s="163" t="str">
        <f>Datos!A16</f>
        <v xml:space="preserve">Jdos. 1ª Instª. e Instr.                        </v>
      </c>
      <c r="D16" s="505"/>
      <c r="E16" s="1171">
        <f>IF(ISNUMBER(Datos!AQ16),Datos!AQ16," - ")</f>
        <v>9</v>
      </c>
      <c r="F16" s="336">
        <f>IF(ISNUMBER(AA16+Y16-Datos!J16-K15),AA16+Y16-Datos!J16-K15," - ")</f>
        <v>4355</v>
      </c>
      <c r="G16" s="228">
        <f>IF(ISNUMBER(IF(D_I="SI",Datos!I16,Datos!I16+Datos!AC16)),IF(D_I="SI",Datos!I16,Datos!I16+Datos!AC16)," - ")</f>
        <v>4333</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2328</v>
      </c>
      <c r="Z16" s="622">
        <f>IF(ISNUMBER(Datos!Q16),Datos!Q16," - ")</f>
        <v>76</v>
      </c>
      <c r="AA16" s="335">
        <f>IF(ISNUMBER(IF(D_I="SI",Datos!L16,Datos!L16+Datos!AF16)),IF(D_I="SI",Datos!L16,Datos!L16+Datos!AF16)," - ")</f>
        <v>4456</v>
      </c>
      <c r="AB16" s="337"/>
      <c r="AC16" s="337"/>
      <c r="AD16" s="487"/>
      <c r="AE16" s="487">
        <f>IF(ISNUMBER(Datos!R16),Datos!R16," - ")</f>
        <v>334</v>
      </c>
      <c r="AF16" s="232" t="str">
        <f>IF(ISNUMBER(Datos!BV16),Datos!BV16," - ")</f>
        <v xml:space="preserve"> - </v>
      </c>
      <c r="AG16" s="228"/>
      <c r="AH16" s="301"/>
      <c r="AI16" s="230"/>
      <c r="AJ16" s="228">
        <f>IF(ISNUMBER(Datos!M16),Datos!M16," - ")</f>
        <v>305</v>
      </c>
      <c r="AK16" s="232">
        <f>IF(ISNUMBER(Datos!N16),Datos!N16," - ")</f>
        <v>1269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5.7422680412371134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95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285</v>
      </c>
      <c r="Z17" s="622">
        <f>IF(ISNUMBER(Datos!Q17),Datos!Q17," - ")</f>
        <v>2</v>
      </c>
      <c r="AA17" s="335">
        <f>IF(ISNUMBER(Datos!L17),Datos!L17,"-")</f>
        <v>113</v>
      </c>
      <c r="AB17" s="337"/>
      <c r="AC17" s="337"/>
      <c r="AD17" s="487"/>
      <c r="AE17" s="487">
        <f>IF(ISNUMBER(Datos!R17),Datos!R17," - ")</f>
        <v>6</v>
      </c>
      <c r="AF17" s="232" t="str">
        <f>IF(ISNUMBER(Datos!BV17),Datos!BV17," - ")</f>
        <v xml:space="preserve"> - </v>
      </c>
      <c r="AG17" s="228" t="str">
        <f>IF(ISNUMBER(Datos!DV17),Datos!DV17," - ")</f>
        <v xml:space="preserve"> - </v>
      </c>
      <c r="AH17" s="301"/>
      <c r="AI17" s="230"/>
      <c r="AJ17" s="228">
        <f>IF(ISNUMBER(Datos!M17),Datos!M17," - ")</f>
        <v>17</v>
      </c>
      <c r="AK17" s="232">
        <f>IF(ISNUMBER(Datos!N17),Datos!N17," - ")</f>
        <v>130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1.1894736842105262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10</v>
      </c>
      <c r="F18" s="901">
        <f>SUBTOTAL(9,F15:F17)</f>
        <v>4355</v>
      </c>
      <c r="G18" s="901">
        <f>SUBTOTAL(9,G15:G17)</f>
        <v>4428</v>
      </c>
      <c r="H18" s="935">
        <f>SUBTOTAL(9,H15:H17)</f>
        <v>0</v>
      </c>
      <c r="I18" s="914">
        <f>SUBTOTAL(9,I15:I17)</f>
        <v>0</v>
      </c>
      <c r="J18" s="870">
        <f>SUBTOTAL(9,J14:J17)</f>
        <v>0</v>
      </c>
      <c r="K18" s="935">
        <f t="shared" ref="K18:S18" si="4">SUBTOTAL(9,K15:K17)</f>
        <v>0</v>
      </c>
      <c r="L18" s="935">
        <f t="shared" si="4"/>
        <v>0</v>
      </c>
      <c r="M18" s="935">
        <f t="shared" si="4"/>
        <v>0</v>
      </c>
      <c r="N18" s="935">
        <f t="shared" si="4"/>
        <v>48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2613</v>
      </c>
      <c r="Z18" s="935">
        <f t="shared" si="5"/>
        <v>78</v>
      </c>
      <c r="AA18" s="935">
        <f t="shared" si="5"/>
        <v>4569</v>
      </c>
      <c r="AB18" s="935">
        <f t="shared" si="5"/>
        <v>0</v>
      </c>
      <c r="AC18" s="935">
        <f t="shared" si="5"/>
        <v>0</v>
      </c>
      <c r="AD18" s="935">
        <f t="shared" si="5"/>
        <v>0</v>
      </c>
      <c r="AE18" s="935">
        <f t="shared" si="5"/>
        <v>340</v>
      </c>
      <c r="AF18" s="935">
        <f t="shared" si="5"/>
        <v>0</v>
      </c>
      <c r="AG18" s="935">
        <f t="shared" si="5"/>
        <v>0</v>
      </c>
      <c r="AH18" s="935">
        <f t="shared" si="5"/>
        <v>0</v>
      </c>
      <c r="AI18" s="935">
        <f t="shared" si="5"/>
        <v>0</v>
      </c>
      <c r="AJ18" s="935">
        <f t="shared" si="5"/>
        <v>322</v>
      </c>
      <c r="AK18" s="935">
        <f t="shared" si="5"/>
        <v>1399</v>
      </c>
      <c r="AL18" s="935">
        <f t="shared" si="5"/>
        <v>0</v>
      </c>
      <c r="AM18" s="935">
        <f t="shared" si="5"/>
        <v>0</v>
      </c>
      <c r="AN18" s="935">
        <f t="shared" si="5"/>
        <v>0</v>
      </c>
      <c r="AO18" s="937">
        <f>IF(ISNUMBER(((NºAsuntos!I18/NºAsuntos!G18)*11)/factor_trimestre),((NºAsuntos!I18/NºAsuntos!G18)*11)/factor_trimestre," - ")</f>
        <v>5.2456946039035595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20</v>
      </c>
      <c r="F19" s="823">
        <f t="shared" si="7"/>
        <v>4459</v>
      </c>
      <c r="G19" s="823">
        <f t="shared" si="7"/>
        <v>4532</v>
      </c>
      <c r="H19" s="824">
        <f t="shared" si="7"/>
        <v>0</v>
      </c>
      <c r="I19" s="823">
        <f t="shared" si="7"/>
        <v>0</v>
      </c>
      <c r="J19" s="825">
        <f t="shared" si="7"/>
        <v>0</v>
      </c>
      <c r="K19" s="823">
        <f t="shared" si="7"/>
        <v>0</v>
      </c>
      <c r="L19" s="826">
        <f t="shared" si="7"/>
        <v>0</v>
      </c>
      <c r="M19" s="823">
        <f t="shared" si="7"/>
        <v>0</v>
      </c>
      <c r="N19" s="824">
        <f t="shared" si="7"/>
        <v>818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2648</v>
      </c>
      <c r="Z19" s="830">
        <f t="shared" si="8"/>
        <v>754</v>
      </c>
      <c r="AA19" s="831">
        <f t="shared" si="8"/>
        <v>4671</v>
      </c>
      <c r="AB19" s="831">
        <f t="shared" si="8"/>
        <v>0</v>
      </c>
      <c r="AC19" s="831">
        <f t="shared" si="8"/>
        <v>0</v>
      </c>
      <c r="AD19" s="832">
        <f t="shared" si="8"/>
        <v>0</v>
      </c>
      <c r="AE19" s="832">
        <f t="shared" si="8"/>
        <v>14736</v>
      </c>
      <c r="AF19" s="833">
        <f t="shared" si="8"/>
        <v>0</v>
      </c>
      <c r="AG19" s="834">
        <f t="shared" si="8"/>
        <v>0</v>
      </c>
      <c r="AH19" s="835">
        <f t="shared" si="8"/>
        <v>0</v>
      </c>
      <c r="AI19" s="833">
        <f t="shared" si="8"/>
        <v>0</v>
      </c>
      <c r="AJ19" s="823">
        <f t="shared" si="8"/>
        <v>877</v>
      </c>
      <c r="AK19" s="823">
        <f t="shared" si="8"/>
        <v>2338</v>
      </c>
      <c r="AL19" s="823">
        <f t="shared" si="8"/>
        <v>0</v>
      </c>
      <c r="AM19" s="836">
        <f t="shared" si="8"/>
        <v>0</v>
      </c>
      <c r="AN19" s="826">
        <f>IF(ISNUMBER(Datos!K19/Datos!J19),Datos!K19/Datos!J19," - ")</f>
        <v>0.85369244135534317</v>
      </c>
      <c r="AO19" s="826">
        <f>IF(ISNUMBER(FIND("06",Criterios!A8,1)),(IF(ISNUMBER(((Datos!R19/Datos!Q19)*11)/factor_trimestre),((Datos!R19/Datos!Q19)*11)/factor_trimestre," - ")),(IF(ISNUMBER(((Datos!L19/Datos!K19)*11)/factor_trimestre),((Datos!L19/Datos!K19)*11)/factor_trimestre," - ")))</f>
        <v>7.4154284551190717</v>
      </c>
      <c r="AP19" s="837" t="str">
        <f>IF(ISNUMBER(Datos!CI19/Datos!CJ19),Datos!CI19/Datos!CJ19," - ")</f>
        <v xml:space="preserve"> - </v>
      </c>
      <c r="AQ19" s="837">
        <f>IF(OR(ISNUMBER(FIND("01",Criterios!A8,1)),ISNUMBER(FIND("02",Criterios!A8,1)),ISNUMBER(FIND("03",Criterios!A8,1)),ISNUMBER(FIND("04",Criterios!A8,1))),(J19-Y19+K19)/(F19-K19),(I19-Y19+K19)/(F19-K19))</f>
        <v>-0.59385512446736932</v>
      </c>
      <c r="AR19" s="837">
        <f>IF(ISNUMBER((Datos!P19-Datos!Q19+O19)/(Datos!R19-Datos!P19+Datos!Q19-O19)),(Datos!P19-Datos!Q19+O19)/(Datos!R19-Datos!P19+Datos!Q19-O19)," - ")</f>
        <v>4.3620501635768813E-3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1812.8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2454.3159943250989</v>
      </c>
      <c r="G21" s="555">
        <f>IF(ISNUMBER(STDEV(G8:G18)),STDEV(G8:G18),"-")</f>
        <v>2344.2221951001147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239.25021769408417</v>
      </c>
      <c r="AK21" s="255"/>
      <c r="AL21" s="255">
        <f>IF(ISNUMBER(STDEV(AL8:AL18)),STDEV(AL8:AL18),"-")</f>
        <v>0</v>
      </c>
      <c r="AM21" s="257">
        <f>IF(ISNUMBER(STDEV(AM8:AM18)),STDEV(AM8:AM18),"-")</f>
        <v>0</v>
      </c>
      <c r="AN21" s="542">
        <f>IF(ISNUMBER(STDEV(AN8:AN18)),STDEV(AN8:AN18),"-")</f>
        <v>0</v>
      </c>
      <c r="AO21" s="543">
        <f>IF(ISNUMBER(STDEV(AO8:AO18)),STDEV(AO8:AO18),"-")</f>
        <v>3.2461567188271654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mSXnpLg6IaYY6Vbug1Q47uPo0Q2C2Yu+kHW4zds16HHWy/pDkIzWM6OW4+8dIoPyHRuo0W3PPjQt+VHQcSmRIA==" saltValue="aTb+4vcokDAbLKYbrbIBo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RSfrN0TuvckBHWD3cwpg2DelC4EjpgxuK7ycV8c814nPCFbWO8fFUARg3EHeOk7tI1xF45gohNxNu1gnk5Ri4g==" saltValue="tl9oPIVTYk32EveFWnz9Q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9zDr5LHBTvQqSe2L6ySRLjyuEt+sCOeuR23ybdRkKX6/FSDN898v7mfljoEdDvmiUN1XpQhb6ytjg79QQiZHQ==" saltValue="j8ugB8hjkp0cNT+bfd7Lm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TARRAGONA  Resumenes por Partidos Judiciales  EL VENDRELL</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0.224969598702878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0.15907752880362136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kg9H6kSJn0RN6+B2ThgRjIRna5GBpxb/F+D5iPz6CaUvAhEntytV0Dh3q9GoHn7QDCJ3d6UN5Iswd8QNALVOBA==" saltValue="o1mS+JvdDHlBIO+Vf5dcT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2z/F0dWUXyPvyjEtNIOSsXdNdUG+93+s9+CveTly0B+S03PUkBj76asp97o/6ViBoDr288evfF5dp3JtbG9yyg==" saltValue="4W+IIjKLPtHRssjyBAuDE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TARRAGONA</v>
      </c>
      <c r="D3" s="378"/>
      <c r="E3" s="378"/>
      <c r="F3" s="378"/>
    </row>
    <row r="4" spans="1:14" ht="13.5" thickBot="1">
      <c r="A4" s="378"/>
      <c r="B4" s="394" t="str">
        <f>Criterios!A11 &amp;"  "&amp;Criterios!B11</f>
        <v>Resumenes por Partidos Judiciales  EL VENDRELL</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104</v>
      </c>
      <c r="D10" s="407">
        <f>IF(ISNUMBER(C10/Datos!BH10),C10/Datos!BH10," - ")</f>
        <v>104</v>
      </c>
      <c r="E10" s="406">
        <f>IF(ISNUMBER(Datos!J10),Datos!J10," - ")</f>
        <v>33</v>
      </c>
      <c r="F10" s="407">
        <f>IF(ISNUMBER(E10/B10),E10/B10," - ")</f>
        <v>33</v>
      </c>
      <c r="G10" s="406">
        <f>IF(ISNUMBER(Datos!K10),Datos!K10," - ")</f>
        <v>35</v>
      </c>
      <c r="H10" s="407">
        <f>IF(ISNUMBER(G10/B10),G10/B10," - ")</f>
        <v>35</v>
      </c>
      <c r="I10" s="406">
        <f>IF(ISNUMBER(Datos!L10),Datos!L10," - ")</f>
        <v>102</v>
      </c>
      <c r="J10" s="407">
        <f>IF(ISNUMBER(I10/B10),I10/B10," - ")</f>
        <v>102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9</v>
      </c>
      <c r="C12" s="406">
        <f>IF(ISNUMBER(IF(J_V="SI",Datos!I12,Datos!I12+Datos!Y12)),IF(J_V="SI",Datos!I12,Datos!I12+Datos!Y12)," - ")</f>
        <v>6952</v>
      </c>
      <c r="D12" s="407">
        <f>IF(ISNUMBER(C12/Datos!BH12),C12/Datos!BH12," - ")</f>
        <v>772.44444444444446</v>
      </c>
      <c r="E12" s="406">
        <f>IF(ISNUMBER(IF(J_V="SI",Datos!J12,Datos!J12+Datos!Z12)),IF(J_V="SI",Datos!J12,Datos!J12+Datos!Z12)," - ")</f>
        <v>3150</v>
      </c>
      <c r="F12" s="407">
        <f>IF(ISNUMBER(E12/B12),E12/B12," - ")</f>
        <v>350</v>
      </c>
      <c r="G12" s="406">
        <f>IF(ISNUMBER(IF(J_V="SI",Datos!K12,Datos!K12+Datos!AA12)),IF(J_V="SI",Datos!K12,Datos!K12+Datos!AA12)," - ")</f>
        <v>2432</v>
      </c>
      <c r="H12" s="407">
        <f>IF(ISNUMBER(G12/B12),G12/B12," - ")</f>
        <v>270.22222222222223</v>
      </c>
      <c r="I12" s="406">
        <f>IF(ISNUMBER(IF(J_V="SI",Datos!L12,Datos!L12+Datos!AB12)),IF(J_V="SI",Datos!L12,Datos!L12+Datos!AB12)," - ")</f>
        <v>7666</v>
      </c>
      <c r="J12" s="407">
        <f>IF(ISNUMBER(I12/B12),I12/B12," - ")</f>
        <v>851.77777777777783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10</v>
      </c>
      <c r="C13" s="852">
        <f>SUBTOTAL(9,C8:C12)</f>
        <v>7056</v>
      </c>
      <c r="D13" s="853" t="str">
        <f>IF(ISNUMBER(C13/Datos!BI13),C13/Datos!BI13," - ")</f>
        <v xml:space="preserve"> - </v>
      </c>
      <c r="E13" s="852">
        <f>SUBTOTAL(9,E8:E12)</f>
        <v>3183</v>
      </c>
      <c r="F13" s="853">
        <f>IF(ISNUMBER(E13/B13),E13/B13," - ")</f>
        <v>318.3</v>
      </c>
      <c r="G13" s="852">
        <f>SUBTOTAL(9,G8:G12)</f>
        <v>2467</v>
      </c>
      <c r="H13" s="853">
        <f>IF(ISNUMBER(G13/B13),G13/B13," - ")</f>
        <v>246.7</v>
      </c>
      <c r="I13" s="852">
        <f>SUBTOTAL(9,I8:I12)</f>
        <v>7768</v>
      </c>
      <c r="J13" s="853">
        <f>IF(ISNUMBER(I13/B13),I13/B13," - ")</f>
        <v>776.8</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9</v>
      </c>
      <c r="C16" s="406">
        <f>IF(ISNUMBER(IF(D_I="SI",Datos!I16,Datos!I16+Datos!AC16)),IF(D_I="SI",Datos!I16,Datos!I16+Datos!AC16)," - ")</f>
        <v>4333</v>
      </c>
      <c r="D16" s="407">
        <f>IF(ISNUMBER(C16/Datos!BH16),C16/Datos!BH16," - ")</f>
        <v>481.44444444444446</v>
      </c>
      <c r="E16" s="406">
        <f>IF(ISNUMBER(IF(D_I="SI",Datos!J16,Datos!J16+Datos!AD16)),IF(D_I="SI",Datos!J16,Datos!J16+Datos!AD16)," - ")</f>
        <v>2429</v>
      </c>
      <c r="F16" s="407">
        <f>IF(ISNUMBER(E16/B16),E16/B16," - ")</f>
        <v>269.88888888888891</v>
      </c>
      <c r="G16" s="406">
        <f>IF(ISNUMBER(IF(D_I="SI",Datos!K16,Datos!K16+Datos!AE16)),IF(D_I="SI",Datos!K16,Datos!K16+Datos!AE16)," - ")</f>
        <v>2328</v>
      </c>
      <c r="H16" s="407">
        <f>IF(ISNUMBER(G16/B16),G16/B16," - ")</f>
        <v>258.66666666666669</v>
      </c>
      <c r="I16" s="406">
        <f>IF(ISNUMBER(IF(D_I="SI",Datos!L16,Datos!L16+Datos!AF16)),IF(D_I="SI",Datos!L16,Datos!L16+Datos!AF16)," - ")</f>
        <v>4456</v>
      </c>
      <c r="J16" s="407">
        <f>IF(ISNUMBER(I16/B16),I16/B16," - ")</f>
        <v>495.11111111111109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95</v>
      </c>
      <c r="D17" s="407">
        <f>IF(ISNUMBER(C17/Datos!BH17),C17/Datos!BH17," - ")</f>
        <v>95</v>
      </c>
      <c r="E17" s="406">
        <f>IF(ISNUMBER(IF(D_I="SI",Datos!J17,Datos!J17+Datos!AD17)),IF(D_I="SI",Datos!J17,Datos!J17+Datos!AD17)," - ")</f>
        <v>294</v>
      </c>
      <c r="F17" s="407">
        <f>IF(ISNUMBER(E17/B17),E17/B17," - ")</f>
        <v>294</v>
      </c>
      <c r="G17" s="406">
        <f>IF(ISNUMBER(IF(D_I="SI",Datos!K17,Datos!K17+Datos!AE17)),IF(D_I="SI",Datos!K17,Datos!K17+Datos!AE17)," - ")</f>
        <v>285</v>
      </c>
      <c r="H17" s="407">
        <f>IF(ISNUMBER(G17/B17),G17/B17," - ")</f>
        <v>285</v>
      </c>
      <c r="I17" s="406">
        <f>IF(ISNUMBER(IF(D_I="SI",Datos!L17,Datos!L17+Datos!AF17)),IF(D_I="SI",Datos!L17,Datos!L17+Datos!AF17)," - ")</f>
        <v>113</v>
      </c>
      <c r="J17" s="407">
        <f>IF(ISNUMBER(I17/B17),I17/B17," - ")</f>
        <v>113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10</v>
      </c>
      <c r="C18" s="852">
        <f>SUBTOTAL(9,C14:C17)</f>
        <v>4428</v>
      </c>
      <c r="D18" s="853" t="str">
        <f>IF(ISNUMBER(C18/Datos!BI18),C18/Datos!BI18," - ")</f>
        <v xml:space="preserve"> - </v>
      </c>
      <c r="E18" s="852">
        <f>SUBTOTAL(9,E14:E17)</f>
        <v>2723</v>
      </c>
      <c r="F18" s="853">
        <f>IF(ISNUMBER(E18/B18),E18/B18," - ")</f>
        <v>272.3</v>
      </c>
      <c r="G18" s="852">
        <f>SUBTOTAL(9,G14:G17)</f>
        <v>2613</v>
      </c>
      <c r="H18" s="853">
        <f>IF(ISNUMBER(G18/B18),G18/B18," - ")</f>
        <v>261.3</v>
      </c>
      <c r="I18" s="852">
        <f>SUBTOTAL(9,I14:I17)</f>
        <v>4569</v>
      </c>
      <c r="J18" s="853">
        <f>IF(ISNUMBER(I18/B18),I18/B18," - ")</f>
        <v>456.9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10</v>
      </c>
      <c r="C19" s="797">
        <f>SUBTOTAL(9,C9:C18)</f>
        <v>11484</v>
      </c>
      <c r="D19" s="798" t="str">
        <f>IF(ISNUMBER(C19/Datos!BI19),C19/Datos!BI19," - ")</f>
        <v xml:space="preserve"> - </v>
      </c>
      <c r="E19" s="797">
        <f>SUBTOTAL(9,E9:E18)</f>
        <v>5906</v>
      </c>
      <c r="F19" s="798">
        <f>IF(ISNUMBER(E19/B19),E19/B19," - ")</f>
        <v>590.6</v>
      </c>
      <c r="G19" s="797">
        <f>SUBTOTAL(9,G9:G18)</f>
        <v>5080</v>
      </c>
      <c r="H19" s="798">
        <f>IF(ISNUMBER(G19/B19),G19/B19," - ")</f>
        <v>508</v>
      </c>
      <c r="I19" s="797">
        <f>SUBTOTAL(9,I9:I18)</f>
        <v>12337</v>
      </c>
      <c r="J19" s="798">
        <f>IF(ISNUMBER(I19/B19),I19/B19," - ")</f>
        <v>1233.7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dOq7mt3De8P7U/fJlaLknLZC6RGf4dt1u/7X6jk/QeMW78tQgb5FH+L8FjOEtpJL1CCCwoM16chs8DnQfKniIA==" saltValue="bsBknV7pq8o+unJhaDfeP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TARRAGONA  Resumenes por Partidos Judiciales  EL VENDRELL</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1</v>
      </c>
      <c r="F10" s="686">
        <f>IF(ISNUMBER(Datos!L10+Datos!K10-Datos!J10),Datos!L10+Datos!K10-Datos!J10," - ")</f>
        <v>104</v>
      </c>
      <c r="G10" s="687">
        <f>IF(ISNUMBER(Datos!I10),Datos!I10," - ")</f>
        <v>104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5</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35</v>
      </c>
      <c r="AC10" s="686" t="str">
        <f>IF(ISNUMBER(IF(D_I="SI",DatosP!K17,DatosP!K17+DatosP!AE17)),IF(D_I="SI",DatosP!K17,DatosP!K17+DatosP!AE17)," - ")</f>
        <v xml:space="preserve"> - </v>
      </c>
      <c r="AD10" s="688"/>
      <c r="AE10" s="688"/>
      <c r="AF10" s="691">
        <f>IF(ISNUMBER(Datos!L10),Datos!L10,"-")</f>
        <v>102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13</v>
      </c>
      <c r="AM10" s="693">
        <f>IF(ISNUMBER(Datos!N10+DatosP!N17),Datos!N10+DatosP!N17," - ")</f>
        <v>16</v>
      </c>
      <c r="AN10" s="693">
        <f>IF(ISNUMBER(Datos!BW10+DatosP!BW17),Datos!BW10+DatosP!BW17," - ")</f>
        <v>0</v>
      </c>
      <c r="AO10" s="694">
        <f>IF(ISNUMBER(Datos!BX10+DatosP!BX17),Datos!BX10+DatosP!BX17," - ")</f>
        <v>0</v>
      </c>
      <c r="AP10" s="696">
        <f>IF(ISNUMBER(((Datos!L10/Datos!K10)*11)/factor_trimestre),((Datos!L10/Datos!K10)*11)/factor_trimestre," - ")</f>
        <v>8.7428571428571438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9</v>
      </c>
      <c r="B12" s="510" t="s">
        <v>249</v>
      </c>
      <c r="C12" s="7" t="str">
        <f>Datos!A12</f>
        <v xml:space="preserve">Jdos. 1ª Instª. e Instr.                        </v>
      </c>
      <c r="D12" s="511"/>
      <c r="E12" s="685">
        <f>IF(ISNUMBER(Datos!AQ12),Datos!AQ12," - ")</f>
        <v>9</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765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675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14295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542</v>
      </c>
      <c r="AM12" s="693">
        <f>IF(ISNUMBER(Datos!N12+DatosP!N16),Datos!N12+DatosP!N16," - ")</f>
        <v>923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9.4564144736842106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6.3357972544878568E-3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10</v>
      </c>
      <c r="F13" s="941">
        <f t="shared" si="0"/>
        <v>104</v>
      </c>
      <c r="G13" s="941">
        <f t="shared" si="0"/>
        <v>104</v>
      </c>
      <c r="H13" s="941">
        <f t="shared" si="0"/>
        <v>0</v>
      </c>
      <c r="I13" s="943">
        <f t="shared" si="0"/>
        <v>0</v>
      </c>
      <c r="J13" s="942">
        <f t="shared" si="0"/>
        <v>0</v>
      </c>
      <c r="K13" s="942">
        <f t="shared" si="0"/>
        <v>0</v>
      </c>
      <c r="L13" s="944">
        <f t="shared" si="0"/>
        <v>0</v>
      </c>
      <c r="M13" s="944">
        <f t="shared" si="0"/>
        <v>0</v>
      </c>
      <c r="N13" s="942">
        <f t="shared" si="0"/>
        <v>770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35</v>
      </c>
      <c r="AC13" s="942">
        <f t="shared" si="1"/>
        <v>0</v>
      </c>
      <c r="AD13" s="942">
        <f t="shared" si="1"/>
        <v>675</v>
      </c>
      <c r="AE13" s="942">
        <f t="shared" si="1"/>
        <v>0</v>
      </c>
      <c r="AF13" s="942">
        <f t="shared" si="1"/>
        <v>102</v>
      </c>
      <c r="AG13" s="942">
        <f t="shared" si="1"/>
        <v>0</v>
      </c>
      <c r="AH13" s="942">
        <f t="shared" si="1"/>
        <v>14295</v>
      </c>
      <c r="AI13" s="942">
        <f t="shared" si="1"/>
        <v>0</v>
      </c>
      <c r="AJ13" s="942">
        <f t="shared" si="1"/>
        <v>0</v>
      </c>
      <c r="AK13" s="942">
        <f t="shared" si="1"/>
        <v>0</v>
      </c>
      <c r="AL13" s="942">
        <f t="shared" si="1"/>
        <v>555</v>
      </c>
      <c r="AM13" s="942">
        <f t="shared" si="1"/>
        <v>939</v>
      </c>
      <c r="AN13" s="942">
        <f t="shared" si="1"/>
        <v>0</v>
      </c>
      <c r="AO13" s="942">
        <f t="shared" si="1"/>
        <v>0</v>
      </c>
      <c r="AP13" s="947">
        <f>IF(ISNUMBER(((Datos!L13/Datos!K13)*11)/factor_trimestre),((Datos!L13/Datos!K13)*11)/factor_trimestre," - ")</f>
        <v>9.8804347826086971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-0.33653846153846156</v>
      </c>
      <c r="AU13" s="942" t="str">
        <f>IF(ISNUMBER((DatosP!#REF!-DatosP!#REF!+DatosP!#REF!)/(DatosP!#REF!+DatosP!#REF!-DatosP!#REF!-DatosP!#REF!)),(DatosP!#REF!-DatosP!#REF!+DatosP!#REF!)/(DatosP!#REF!+DatosP!#REF!-DatosP!#REF!-DatosP!#REF!)," - ")</f>
        <v xml:space="preserve"> - </v>
      </c>
      <c r="AV13" s="948">
        <f>SUBTOTAL(9,AV9:AV12)</f>
        <v>6.3357972544878568E-3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9</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5.2456946039035595</v>
      </c>
      <c r="AQ18" s="947">
        <f>IF(ISNUMBER(((Datos!M18/Datos!L18)*11)/factor_trimestre),((Datos!M18/Datos!L18)*11)/factor_trimestre," - ")</f>
        <v>0.21142481943532501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-8.1081081081081086E-2</v>
      </c>
      <c r="AW18" s="949">
        <f>IF(ISNUMBER((Datos!Q18-Datos!R18)/(Datos!S18-Datos!Q18+Datos!R18)),(Datos!Q18-Datos!R18)/(Datos!S18-Datos!Q18+Datos!R18)," - ")</f>
        <v>-6.0466189706900528E-2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10</v>
      </c>
      <c r="F19" s="954">
        <f t="shared" si="4"/>
        <v>104</v>
      </c>
      <c r="G19" s="954">
        <f t="shared" si="4"/>
        <v>104</v>
      </c>
      <c r="H19" s="954">
        <f t="shared" si="4"/>
        <v>0</v>
      </c>
      <c r="I19" s="955">
        <f t="shared" si="4"/>
        <v>0</v>
      </c>
      <c r="J19" s="956">
        <f t="shared" si="4"/>
        <v>0</v>
      </c>
      <c r="K19" s="956">
        <f t="shared" si="4"/>
        <v>0</v>
      </c>
      <c r="L19" s="956">
        <f t="shared" si="4"/>
        <v>0</v>
      </c>
      <c r="M19" s="956">
        <f t="shared" si="4"/>
        <v>0</v>
      </c>
      <c r="N19" s="955">
        <f t="shared" si="4"/>
        <v>770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35</v>
      </c>
      <c r="AC19" s="960">
        <f t="shared" si="5"/>
        <v>0</v>
      </c>
      <c r="AD19" s="960">
        <f t="shared" si="5"/>
        <v>675</v>
      </c>
      <c r="AE19" s="960">
        <f t="shared" si="5"/>
        <v>0</v>
      </c>
      <c r="AF19" s="961">
        <f t="shared" si="5"/>
        <v>102</v>
      </c>
      <c r="AG19" s="961">
        <f t="shared" si="5"/>
        <v>0</v>
      </c>
      <c r="AH19" s="961">
        <f t="shared" si="5"/>
        <v>14295</v>
      </c>
      <c r="AI19" s="961">
        <f t="shared" si="5"/>
        <v>0</v>
      </c>
      <c r="AJ19" s="962">
        <f t="shared" si="5"/>
        <v>0</v>
      </c>
      <c r="AK19" s="962">
        <f t="shared" si="5"/>
        <v>0</v>
      </c>
      <c r="AL19" s="954">
        <f t="shared" si="5"/>
        <v>555</v>
      </c>
      <c r="AM19" s="954">
        <f t="shared" si="5"/>
        <v>939</v>
      </c>
      <c r="AN19" s="954">
        <f t="shared" si="5"/>
        <v>0</v>
      </c>
      <c r="AO19" s="954">
        <f t="shared" si="5"/>
        <v>0</v>
      </c>
      <c r="AP19" s="954">
        <f>IF(ISNUMBER(((Datos!L19/Datos!K19)*11)/factor_trimestre),((Datos!L19/Datos!K19)*11)/factor_trimestre," - ")</f>
        <v>7.4154284551190717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-0.33653846153846156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4.3620501635768813E-3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69.333333333333329</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4.8027769744874336</v>
      </c>
      <c r="F21" s="739">
        <f>IF(ISNUMBER(STDEV(F8:F18)),STDEV(F8:F18),"-")</f>
        <v>60.04442799572108</v>
      </c>
      <c r="G21" s="740">
        <f>IF(ISNUMBER(STDEV(G8:G18)),STDEV(G8:G18),"-")</f>
        <v>60.04442799572108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20.207259421636902</v>
      </c>
      <c r="AC21" s="741">
        <f>IF(ISNUMBER(STDEV(AC8:AC18)),STDEV(AC8:AC18),"-")</f>
        <v>0</v>
      </c>
      <c r="AD21" s="744"/>
      <c r="AE21" s="744"/>
      <c r="AF21" s="744"/>
      <c r="AG21" s="744"/>
      <c r="AH21" s="744"/>
      <c r="AI21" s="744"/>
      <c r="AJ21" s="745">
        <f>IF(ISNUMBER(STDEV(AJ8:AJ18)),STDEV(AJ8:AJ18),"-")</f>
        <v>0</v>
      </c>
      <c r="AK21" s="747"/>
      <c r="AL21" s="739">
        <f>IF(ISNUMBER(STDEV(AL8:AL18)),STDEV(AL8:AL18),"-")</f>
        <v>313.01384420927241</v>
      </c>
      <c r="AM21" s="739"/>
      <c r="AN21" s="739">
        <f>IF(ISNUMBER(STDEV(AN8:AN18)),STDEV(AN8:AN18),"-")</f>
        <v>0</v>
      </c>
      <c r="AO21" s="745">
        <f>IF(ISNUMBER(STDEV(AO8:AO18)),STDEV(AO8:AO18),"-")</f>
        <v>0</v>
      </c>
      <c r="AP21" s="782">
        <f>IF(ISNUMBER(STDEV(AP8:AP18)),STDEV(AP8:AP18),"-")</f>
        <v>2.1099795485373392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FUAL7Innxk/h0hO+KyQ++M3M0ThfulGWxPIbHUrKWcCG9PzhrwidhdHzEZcstEoD3Bx367vkiD/LwMQrtWVjrg==" saltValue="Aqp3n4HiKzBRCJg4ay/WN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221</v>
      </c>
      <c r="B3" s="394" t="str">
        <f>Criterios!A10 &amp;"  "&amp;Criterios!B10</f>
        <v>Provincias  TARRAGONA</v>
      </c>
      <c r="C3" s="418"/>
      <c r="F3" s="378"/>
      <c r="G3" s="378"/>
      <c r="H3" s="378"/>
    </row>
    <row r="4" spans="1:15" ht="13.5" thickBot="1">
      <c r="A4" s="378"/>
      <c r="B4" s="394" t="str">
        <f>Criterios!A11 &amp;"  "&amp;Criterios!B11</f>
        <v>Resumenes por Partidos Judiciales  EL VENDRELL</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9</v>
      </c>
      <c r="D12" s="406">
        <f>Datos!BK12</f>
        <v>0</v>
      </c>
      <c r="E12" s="406">
        <f>Datos!AQ12</f>
        <v>9</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9</v>
      </c>
      <c r="D16" s="406">
        <f>Datos!BK16</f>
        <v>0</v>
      </c>
      <c r="E16" s="406">
        <f>Datos!AQ16</f>
        <v>9</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933RYH7XGKpP5gBKQoLifANZL3RUojZxVFfT05RsbjNqWErqzREAnPovbfy5yvIFg5nceuO3VJvY3OcFtmnAOA==" saltValue="pFOolRA7LaWLipG6N7uAw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TARRAGONA</v>
      </c>
      <c r="C3" s="394"/>
      <c r="D3" s="428"/>
    </row>
    <row r="4" spans="1:9" ht="13.5" thickBot="1">
      <c r="B4" s="394" t="str">
        <f>Criterios!A11 &amp;"  "&amp;Criterios!B11</f>
        <v>Resumenes por Partidos Judiciales  EL VENDRELL</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1</v>
      </c>
      <c r="D10" s="406">
        <f>IF(ISNUMBER(Datos!M10),Datos!M10," - ")</f>
        <v>13</v>
      </c>
      <c r="E10" s="407">
        <f>IF(ISNUMBER(D10/B10),D10/B10," - ")</f>
        <v>13</v>
      </c>
      <c r="F10" s="406">
        <f>IF(ISNUMBER(Datos!N10),Datos!N10," - ")</f>
        <v>16</v>
      </c>
      <c r="G10" s="407">
        <f>IF(ISNUMBER(F10/B10),F10/B10," - ")</f>
        <v>16</v>
      </c>
      <c r="H10" s="406">
        <f>IF(ISNUMBER(Datos!O10),Datos!O10," - ")</f>
        <v>7</v>
      </c>
      <c r="I10" s="407">
        <f t="shared" ref="I10:I12" si="2">IF(ISNUMBER(H10/B10),H10/B10," - ")</f>
        <v>7</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9</v>
      </c>
      <c r="C12" s="413">
        <f>Datos!AQ12</f>
        <v>9</v>
      </c>
      <c r="D12" s="406">
        <f>IF(ISNUMBER(Datos!M12),Datos!M12," - ")</f>
        <v>542</v>
      </c>
      <c r="E12" s="407">
        <f t="shared" si="0"/>
        <v>60.222222222222221</v>
      </c>
      <c r="F12" s="406">
        <f>IF(ISNUMBER(Datos!N12),Datos!N12," - ")</f>
        <v>923</v>
      </c>
      <c r="G12" s="407">
        <f t="shared" si="1"/>
        <v>102.55555555555556</v>
      </c>
      <c r="H12" s="406">
        <f>IF(ISNUMBER(Datos!O12),Datos!O12," - ")</f>
        <v>1356</v>
      </c>
      <c r="I12" s="407">
        <f t="shared" si="2"/>
        <v>150.66666666666666</v>
      </c>
    </row>
    <row r="13" spans="1:9" ht="14.25" thickTop="1" thickBot="1">
      <c r="A13" s="851" t="str">
        <f>Datos!A13</f>
        <v>TOTAL</v>
      </c>
      <c r="B13" s="852">
        <f>Datos!AO13</f>
        <v>10</v>
      </c>
      <c r="C13" s="854">
        <f>Datos!AR13</f>
        <v>10</v>
      </c>
      <c r="D13" s="852">
        <f>SUBTOTAL(9,D9:D12)</f>
        <v>555</v>
      </c>
      <c r="E13" s="853">
        <f t="shared" si="0"/>
        <v>55.5</v>
      </c>
      <c r="F13" s="852">
        <f>SUBTOTAL(9,F9:F12)</f>
        <v>939</v>
      </c>
      <c r="G13" s="853">
        <f t="shared" si="1"/>
        <v>93.9</v>
      </c>
      <c r="H13" s="852">
        <f>SUBTOTAL(9,H9:H12)</f>
        <v>1363</v>
      </c>
      <c r="I13" s="853">
        <f>IF(ISNUMBER(H13/B13),H13/B13," - ")</f>
        <v>136.30000000000001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9</v>
      </c>
      <c r="C16" s="431">
        <f>Datos!AQ16</f>
        <v>9</v>
      </c>
      <c r="D16" s="406">
        <f>IF(ISNUMBER(Datos!M16),Datos!M16," - ")</f>
        <v>305</v>
      </c>
      <c r="E16" s="407">
        <f t="shared" si="3"/>
        <v>33.888888888888886</v>
      </c>
      <c r="F16" s="406">
        <f>IF(ISNUMBER(Datos!N16),Datos!N16," - ")</f>
        <v>1269</v>
      </c>
      <c r="G16" s="407">
        <f t="shared" si="4"/>
        <v>141</v>
      </c>
      <c r="H16" s="406">
        <f>IF(ISNUMBER(Datos!O16),Datos!O16," - ")</f>
        <v>31</v>
      </c>
      <c r="I16" s="407">
        <f t="shared" si="5"/>
        <v>3.4444444444444446</v>
      </c>
    </row>
    <row r="17" spans="1:9" ht="13.5" thickBot="1">
      <c r="A17" s="405" t="str">
        <f>Datos!A17</f>
        <v>Jdos. Violencia contra la mujer</v>
      </c>
      <c r="B17" s="430">
        <f>Datos!AO17</f>
        <v>1</v>
      </c>
      <c r="C17" s="431">
        <f>Datos!AQ17</f>
        <v>1</v>
      </c>
      <c r="D17" s="406">
        <f>IF(ISNUMBER(Datos!M17),Datos!M17," - ")</f>
        <v>17</v>
      </c>
      <c r="E17" s="407">
        <f>IF(ISNUMBER(D17/B17),D17/B17," - ")</f>
        <v>17</v>
      </c>
      <c r="F17" s="406">
        <f>IF(ISNUMBER(Datos!N17),Datos!N17," - ")</f>
        <v>130</v>
      </c>
      <c r="G17" s="407">
        <f>IF(ISNUMBER(F17/B17),F17/B17," - ")</f>
        <v>130</v>
      </c>
      <c r="H17" s="406">
        <f>IF(ISNUMBER(Datos!O17),Datos!O17," - ")</f>
        <v>2</v>
      </c>
      <c r="I17" s="407">
        <f t="shared" si="5"/>
        <v>2</v>
      </c>
    </row>
    <row r="18" spans="1:9" ht="14.25" thickTop="1" thickBot="1">
      <c r="A18" s="851" t="str">
        <f>Datos!A18</f>
        <v>TOTAL</v>
      </c>
      <c r="B18" s="852">
        <f>Datos!AO18</f>
        <v>10</v>
      </c>
      <c r="C18" s="854">
        <f>Datos!AR18</f>
        <v>10</v>
      </c>
      <c r="D18" s="852">
        <f>SUBTOTAL(9,D15:D17)</f>
        <v>322</v>
      </c>
      <c r="E18" s="853">
        <f t="shared" si="3"/>
        <v>32.200000000000003</v>
      </c>
      <c r="F18" s="852">
        <f>SUBTOTAL(9,F15:F17)</f>
        <v>1399</v>
      </c>
      <c r="G18" s="853">
        <f t="shared" si="4"/>
        <v>139.9</v>
      </c>
      <c r="H18" s="852">
        <f>SUBTOTAL(9,H15:H17)</f>
        <v>33</v>
      </c>
      <c r="I18" s="853">
        <f>IF(ISNUMBER(H18/B18),H18/B18," - ")</f>
        <v>3.3</v>
      </c>
    </row>
    <row r="19" spans="1:9" ht="14.25" thickTop="1" thickBot="1">
      <c r="A19" s="796" t="str">
        <f>Datos!A19</f>
        <v>TOTAL JURISDICCIONES</v>
      </c>
      <c r="B19" s="797">
        <f>Datos!AP19</f>
        <v>10</v>
      </c>
      <c r="C19" s="797">
        <f>Datos!AR19</f>
        <v>10</v>
      </c>
      <c r="D19" s="797">
        <f>SUBTOTAL(9,D8:D18)</f>
        <v>877</v>
      </c>
      <c r="E19" s="798">
        <f>IF(ISNUMBER(D19/B19),D19/B19," - ")</f>
        <v>87.7</v>
      </c>
      <c r="F19" s="797">
        <f>SUBTOTAL(9,F8:F18)</f>
        <v>2338</v>
      </c>
      <c r="G19" s="798">
        <f>IF(ISNUMBER(F19/B19),F19/B19," - ")</f>
        <v>233.8</v>
      </c>
      <c r="H19" s="797">
        <f>SUBTOTAL(9,H8:H18)</f>
        <v>1396</v>
      </c>
      <c r="I19" s="798">
        <f>IF(ISNUMBER(H19/B19),H19/B19," - ")</f>
        <v>139.6</v>
      </c>
    </row>
    <row r="22" spans="1:9">
      <c r="A22" s="394" t="str">
        <f>Criterios!A4</f>
        <v>Fecha Informe: 07 mar. 2024</v>
      </c>
    </row>
    <row r="27" spans="1:9">
      <c r="A27" s="417"/>
    </row>
  </sheetData>
  <sheetProtection algorithmName="SHA-512" hashValue="JZX9nmbZ8Z350HRGRZuEEBjEAie9zl0+dEcLinxOUCZeM8rygCM9subrjrWfMrZqo2i046qbMcxQVlDua04Fmw==" saltValue="VXEVL/gqgxKQMaOO2FCKp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TARRAGONA</v>
      </c>
    </row>
    <row r="4" spans="1:4" ht="13.5" thickBot="1">
      <c r="B4" s="394" t="str">
        <f>Criterios!A11 &amp;"  "&amp;Criterios!B11</f>
        <v>Resumenes por Partidos Judiciales  EL VENDRELL</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5</v>
      </c>
      <c r="C10" s="437">
        <f>IF(ISNUMBER(Datos!Q10),Datos!Q10," - ")</f>
        <v>1</v>
      </c>
      <c r="D10" s="411">
        <f>IF(ISNUMBER(Datos!R10),Datos!R10," - ")</f>
        <v>101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765</v>
      </c>
      <c r="C12" s="437">
        <f>IF(ISNUMBER(Datos!Q12),Datos!Q12," - ")</f>
        <v>675</v>
      </c>
      <c r="D12" s="411">
        <f>IF(ISNUMBER(Datos!R12),Datos!R12," - ")</f>
        <v>14295</v>
      </c>
    </row>
    <row r="13" spans="1:4" ht="14.25" thickTop="1" thickBot="1">
      <c r="A13" s="851" t="str">
        <f>Datos!A13</f>
        <v>TOTAL</v>
      </c>
      <c r="B13" s="852">
        <f>SUBTOTAL(9,B9:B12)</f>
        <v>770</v>
      </c>
      <c r="C13" s="856">
        <f>SUBTOTAL(9,C9:C12)</f>
        <v>676</v>
      </c>
      <c r="D13" s="854">
        <f>SUBTOTAL(9,D9:D12)</f>
        <v>14396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48</v>
      </c>
      <c r="C16" s="437">
        <f>IF(ISNUMBER(Datos!Q16),Datos!Q16," - ")</f>
        <v>76</v>
      </c>
      <c r="D16" s="411">
        <f>IF(ISNUMBER(Datos!R16),Datos!R16," - ")</f>
        <v>334</v>
      </c>
    </row>
    <row r="17" spans="1:4" ht="13.5" thickBot="1">
      <c r="A17" s="405" t="str">
        <f>Datos!A17</f>
        <v>Jdos. Violencia contra la mujer</v>
      </c>
      <c r="B17" s="436">
        <f>IF(ISNUMBER(Datos!P17),Datos!P17," - ")</f>
        <v>0</v>
      </c>
      <c r="C17" s="437">
        <f>IF(ISNUMBER(Datos!Q17),Datos!Q17," - ")</f>
        <v>2</v>
      </c>
      <c r="D17" s="411">
        <f>IF(ISNUMBER(Datos!R17),Datos!R17," - ")</f>
        <v>6</v>
      </c>
    </row>
    <row r="18" spans="1:4" ht="14.25" thickTop="1" thickBot="1">
      <c r="A18" s="851" t="str">
        <f>Datos!A18</f>
        <v>TOTAL</v>
      </c>
      <c r="B18" s="852">
        <f>SUBTOTAL(9,B15:B17)</f>
        <v>48</v>
      </c>
      <c r="C18" s="856">
        <f>SUBTOTAL(9,C15:C17)</f>
        <v>78</v>
      </c>
      <c r="D18" s="854">
        <f>SUBTOTAL(9,D15:D17)</f>
        <v>340</v>
      </c>
    </row>
    <row r="19" spans="1:4" ht="16.5" customHeight="1" thickTop="1" thickBot="1">
      <c r="A19" s="796" t="str">
        <f>Datos!A19</f>
        <v>TOTAL JURISDICCIONES</v>
      </c>
      <c r="B19" s="801">
        <f>SUBTOTAL(9,B8:B18)</f>
        <v>818</v>
      </c>
      <c r="C19" s="802">
        <f>SUBTOTAL(9,C8:C18)</f>
        <v>754</v>
      </c>
      <c r="D19" s="803">
        <f>SUBTOTAL(9,D8:D18)</f>
        <v>14736</v>
      </c>
    </row>
    <row r="20" spans="1:4" ht="7.5" customHeight="1"/>
    <row r="21" spans="1:4" ht="6" customHeight="1"/>
    <row r="22" spans="1:4">
      <c r="A22" s="394" t="str">
        <f>Criterios!A4</f>
        <v>Fecha Informe: 07 mar. 2024</v>
      </c>
    </row>
    <row r="27" spans="1:4">
      <c r="A27" s="417"/>
    </row>
  </sheetData>
  <sheetProtection algorithmName="SHA-512" hashValue="K5YU6vtpD7w1udE+VKgvG5xxHD6uQV2rj2iHKxnPwLj/u3YKAwkUfYZCqk4pIsZx1cvtgcQ3G1w+l9BzjImLsg==" saltValue="vXh+Q9BtXLNQp2dW+8Up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TARRAGONA</v>
      </c>
    </row>
    <row r="4" spans="1:11" ht="10.5" customHeight="1" thickBot="1">
      <c r="B4" s="394" t="str">
        <f>Criterios!A11 &amp;"  "&amp;Criterios!B11</f>
        <v>Resumenes por Partidos Judiciales  EL VENDRELL</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0.31645569620253167</v>
      </c>
      <c r="C10" s="459">
        <f>IF(ISNUMBER((Datos!J10-Datos!T10)/Datos!T10),(Datos!J10-Datos!T10)/Datos!T10," - ")</f>
        <v>-0.13157894736842105</v>
      </c>
      <c r="D10" s="459">
        <f>IF(ISNUMBER((Datos!K10-Datos!U10)/Datos!U10),(Datos!K10-Datos!U10)/Datos!U10," - ")</f>
        <v>2.9411764705882353E-2</v>
      </c>
      <c r="E10" s="459">
        <f>IF(ISNUMBER((Datos!L10-Datos!V10)/Datos!V10),(Datos!L10-Datos!V10)/Datos!V10," - ")</f>
        <v>0.2289156626506024</v>
      </c>
      <c r="F10" s="459">
        <f>IF(ISNUMBER((Datos!M10-Datos!W10)/Datos!W10),(Datos!M10-Datos!W10)/Datos!W10," - ")</f>
        <v>-0.13333333333333333</v>
      </c>
      <c r="G10" s="460">
        <f>IF(ISNUMBER((Datos!N10-Datos!X10)/Datos!X10),(Datos!N10-Datos!X10)/Datos!X10," - ")</f>
        <v>0.33333333333333331</v>
      </c>
      <c r="H10" s="458">
        <f>IF(ISNUMBER(((NºAsuntos!G10/NºAsuntos!E10)-Datos!BD10)/Datos!BD10),((NºAsuntos!G10/NºAsuntos!E10)-Datos!BD10)/Datos!BD10," - ")</f>
        <v>0.18538324420677355</v>
      </c>
      <c r="I10" s="459">
        <f>IF(ISNUMBER(((NºAsuntos!I10/NºAsuntos!G10)-Datos!BE10)/Datos!BE10),((NºAsuntos!I10/NºAsuntos!G10)-Datos!BE10)/Datos!BE10," - ")</f>
        <v>0.19380378657487074</v>
      </c>
      <c r="J10" s="464">
        <f>IF(ISNUMBER((('Resol  Asuntos'!D10/NºAsuntos!G10)-Datos!BF10)/Datos!BF10),(('Resol  Asuntos'!D10/NºAsuntos!G10)-Datos!BF10)/Datos!BF10," - ")</f>
        <v>-0.15809523809523804</v>
      </c>
      <c r="K10" s="465">
        <f>IF(ISNUMBER((((NºAsuntos!C10+NºAsuntos!E10)/NºAsuntos!G10)-Datos!BG10)/Datos!BG10),(((NºAsuntos!C10+NºAsuntos!E10)/NºAsuntos!G10)-Datos!BG10)/Datos!BG10," - ")</f>
        <v>0.13748473748473738</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-1.8910527801298333E-2</v>
      </c>
      <c r="C12" s="459">
        <f>IF(ISNUMBER(
   IF(J_V="SI",(Datos!J12-Datos!T12)/Datos!T12,(Datos!J12+Datos!Z12-(Datos!T12+Datos!AH12))/(Datos!T12+Datos!AH12))
     ),IF(J_V="SI",(Datos!J12-Datos!T12)/Datos!T12,(Datos!J12+Datos!Z12-(Datos!T12+Datos!AH12))/(Datos!T12+Datos!AH12))," - ")</f>
        <v>0.1954459203036053</v>
      </c>
      <c r="D12" s="459">
        <f>IF(ISNUMBER(
   IF(J_V="SI",(Datos!K12-Datos!U12)/Datos!U12,(Datos!K12+Datos!AA12-(Datos!U12+Datos!AI12))/(Datos!U12+Datos!AI12))
     ),IF(J_V="SI",(Datos!K12-Datos!U12)/Datos!U12,(Datos!K12+Datos!AA12-(Datos!U12+Datos!AI12))/(Datos!U12+Datos!AI12))," - ")</f>
        <v>-0.11756168359941944</v>
      </c>
      <c r="E12" s="459">
        <f>IF(ISNUMBER(
   IF(J_V="SI",(Datos!L12-Datos!V12)/Datos!V12,(Datos!L12+Datos!AB12-(Datos!V12+Datos!AJ12))/(Datos!V12+Datos!AJ12))
     ),IF(J_V="SI",(Datos!L12-Datos!V12)/Datos!V12,(Datos!L12+Datos!AB12-(Datos!V12+Datos!AJ12))/(Datos!V12+Datos!AJ12))," - ")</f>
        <v>9.9225695440206485E-2</v>
      </c>
      <c r="F12" s="459">
        <f>IF(ISNUMBER((Datos!M12-Datos!W12)/Datos!W12),(Datos!M12-Datos!W12)/Datos!W12," - ")</f>
        <v>-7.3504273504273507E-2</v>
      </c>
      <c r="G12" s="460">
        <f>IF(ISNUMBER((Datos!N12-Datos!X12)/Datos!X12),(Datos!N12-Datos!X12)/Datos!X12," - ")</f>
        <v>-0.12428842504743833</v>
      </c>
      <c r="H12" s="458">
        <f>IF(ISNUMBER(((NºAsuntos!G12/NºAsuntos!E12)-Datos!BD12)/Datos!BD12),((NºAsuntos!G12/NºAsuntos!E12)-Datos!BD12)/Datos!BD12," - ")</f>
        <v>-0.26183334485221271</v>
      </c>
      <c r="I12" s="459">
        <f>IF(ISNUMBER(((NºAsuntos!I12/NºAsuntos!G12)-Datos!BE12)/Datos!BE12),((NºAsuntos!I12/NºAsuntos!G12)-Datos!BE12)/Datos!BE12," - ")</f>
        <v>0.24566859236562871</v>
      </c>
      <c r="J12" s="464">
        <f>IF(ISNUMBER((('Resol  Asuntos'!D12/NºAsuntos!G12)-Datos!BF12)/Datos!BF12),(('Resol  Asuntos'!D12/NºAsuntos!G12)-Datos!BF12)/Datos!BF12," - ")</f>
        <v>-0.41726068610805955</v>
      </c>
      <c r="K12" s="465">
        <f>IF(ISNUMBER((((NºAsuntos!C12+NºAsuntos!E12)/NºAsuntos!G12)-Datos!BG12)/Datos!BG12),(((NºAsuntos!C12+NºAsuntos!E12)/NºAsuntos!G12)-Datos!BG12)/Datos!BG12," - ")</f>
        <v>0.17763868510387185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-1.5212840195394277E-2</v>
      </c>
      <c r="C13" s="858">
        <f>IF(ISNUMBER(
   IF(J_V="SI",(Datos!J13-Datos!T13)/Datos!T13,(Datos!J13+Datos!Z13-(Datos!T13+Datos!AH13))/(Datos!T13+Datos!AH13))
     ),IF(J_V="SI",(Datos!J13-Datos!T13)/Datos!T13,(Datos!J13+Datos!Z13-(Datos!T13+Datos!AH13))/(Datos!T13+Datos!AH13))," - ")</f>
        <v>0.19079685746352412</v>
      </c>
      <c r="D13" s="858">
        <f>IF(ISNUMBER(
   IF(J_V="SI",(Datos!K13-Datos!U13)/Datos!U13,(Datos!K13+Datos!AA13-(Datos!U13+Datos!AI13))/(Datos!U13+Datos!AI13))
     ),IF(J_V="SI",(Datos!K13-Datos!U13)/Datos!U13,(Datos!K13+Datos!AA13-(Datos!U13+Datos!AI13))/(Datos!U13+Datos!AI13))," - ")</f>
        <v>-0.11577060931899641</v>
      </c>
      <c r="E13" s="858">
        <f>IF(ISNUMBER(
   IF(J_V="SI",(Datos!L13-Datos!V13)/Datos!V13,(Datos!L13+Datos!AB13-(Datos!V13+Datos!AJ13))/(Datos!V13+Datos!AJ13))
     ),IF(J_V="SI",(Datos!L13-Datos!V13)/Datos!V13,(Datos!L13+Datos!AB13-(Datos!V13+Datos!AJ13))/(Datos!V13+Datos!AJ13))," - ")</f>
        <v>0.10075102734873176</v>
      </c>
      <c r="F13" s="859">
        <f>IF(ISNUMBER((Datos!M13-Datos!W13)/Datos!W13),(Datos!M13-Datos!W13)/Datos!W13," - ")</f>
        <v>-7.4999999999999997E-2</v>
      </c>
      <c r="G13" s="860">
        <f>IF(ISNUMBER((Datos!N13-Datos!X13)/Datos!X13),(Datos!N13-Datos!X13)/Datos!X13," - ")</f>
        <v>-0.11913696060037524</v>
      </c>
      <c r="H13" s="860">
        <f>IF(ISNUMBER(((NºAsuntos!G13/NºAsuntos!E13)-Datos!BD13)/Datos!BD13),((NºAsuntos!G13/NºAsuntos!E13)-Datos!BD13)/Datos!BD13," - ")</f>
        <v>-0.25744732601623543</v>
      </c>
      <c r="I13" s="860">
        <f>IF(ISNUMBER(((NºAsuntos!I13/NºAsuntos!G13)-Datos!BE13)/Datos!BE13),((NºAsuntos!I13/NºAsuntos!G13)-Datos!BE13)/Datos!BE13," - ")</f>
        <v>0.24487043628008154</v>
      </c>
      <c r="J13" s="860">
        <f>IF(ISNUMBER((('Resol  Asuntos'!D13/NºAsuntos!G13)-Datos!BF13)/Datos!BF13),(('Resol  Asuntos'!D13/NºAsuntos!G13)-Datos!BF13)/Datos!BF13," - ")</f>
        <v>-0.41284828776330251</v>
      </c>
      <c r="K13" s="860">
        <f>IF(ISNUMBER((((NºAsuntos!C13+NºAsuntos!E13)/NºAsuntos!G13)-Datos!BG13)/Datos!BG13),(((NºAsuntos!C13+NºAsuntos!E13)/NºAsuntos!G13)-Datos!BG13)/Datos!BG13," - ")</f>
        <v>0.17702524718848256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9.1435768261964742E-2</v>
      </c>
      <c r="C16" s="459">
        <f>IF(ISNUMBER(
   IF(D_I="SI",(Datos!J16-Datos!T16)/Datos!T16,(Datos!J16+Datos!AD16-(Datos!T16+Datos!AL16))/(Datos!T16+Datos!AL16))
     ),IF(D_I="SI",(Datos!J16-Datos!T16)/Datos!T16,(Datos!J16+Datos!AD16-(Datos!T16+Datos!AL16))/(Datos!T16+Datos!AL16))," - ")</f>
        <v>6.9572875385292818E-2</v>
      </c>
      <c r="D16" s="459">
        <f>IF(ISNUMBER(
   IF(D_I="SI",(Datos!K16-Datos!U16)/Datos!U16,(Datos!K16+Datos!AE16-(Datos!U16+Datos!AM16))/(Datos!U16+Datos!AM16))
     ),IF(D_I="SI",(Datos!K16-Datos!U16)/Datos!U16,(Datos!K16+Datos!AE16-(Datos!U16+Datos!AM16))/(Datos!U16+Datos!AM16))," - ")</f>
        <v>2.2397891963109356E-2</v>
      </c>
      <c r="E16" s="459">
        <f>IF(ISNUMBER(
   IF(D_I="SI",(Datos!L16-Datos!V16)/Datos!V16,(Datos!L16+Datos!AF16-(Datos!V16+Datos!AN16))/(Datos!V16+Datos!AN16))
     ),IF(D_I="SI",(Datos!L16-Datos!V16)/Datos!V16,(Datos!L16+Datos!AF16-(Datos!V16+Datos!AN16))/(Datos!V16+Datos!AN16))," - ")</f>
        <v>0.11763230499122147</v>
      </c>
      <c r="F16" s="459">
        <f>IF(ISNUMBER((Datos!M16-Datos!W16)/Datos!W16),(Datos!M16-Datos!W16)/Datos!W16," - ")</f>
        <v>-7.0121951219512202E-2</v>
      </c>
      <c r="G16" s="460">
        <f>IF(ISNUMBER((Datos!N16-Datos!X16)/Datos!X16),(Datos!N16-Datos!X16)/Datos!X16," - ")</f>
        <v>0.11511423550087874</v>
      </c>
      <c r="H16" s="458">
        <f>IF(ISNUMBER(((NºAsuntos!G16/NºAsuntos!E16)-Datos!BD16)/Datos!BD16),((NºAsuntos!G16/NºAsuntos!E16)-Datos!BD16)/Datos!BD16," - ")</f>
        <v>-4.410637601967015E-2</v>
      </c>
      <c r="I16" s="459">
        <f>IF(ISNUMBER(((NºAsuntos!I16/NºAsuntos!G16)-Datos!BE16)/Datos!BE16),((NºAsuntos!I16/NºAsuntos!G16)-Datos!BE16)/Datos!BE16," - ")</f>
        <v>9.3148092124145723E-2</v>
      </c>
      <c r="J16" s="464">
        <f>IF(ISNUMBER((('Resol  Asuntos'!D16/NºAsuntos!G16)-Datos!BF16)/Datos!BF16),(('Resol  Asuntos'!D16/NºAsuntos!G16)-Datos!BF16)/Datos!BF16," - ")</f>
        <v>-9.0492990947950602E-2</v>
      </c>
      <c r="K16" s="465">
        <f>IF(ISNUMBER((((NºAsuntos!C16+NºAsuntos!E16)/NºAsuntos!G16)-Datos!BG16)/Datos!BG16),(((NºAsuntos!C16+NºAsuntos!E16)/NºAsuntos!G16)-Datos!BG16)/Datos!BG16," - ")</f>
        <v>5.9744175943255227E-2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-5.9405940594059403E-2</v>
      </c>
      <c r="C17" s="459">
        <f>IF(ISNUMBER(
   IF(D_I="SI",(Datos!J17-Datos!T17)/Datos!T17,(Datos!J17+Datos!AD17-(Datos!T17+Datos!AL17))/(Datos!T17+Datos!AL17))
     ),IF(D_I="SI",(Datos!J17-Datos!T17)/Datos!T17,(Datos!J17+Datos!AD17-(Datos!T17+Datos!AL17))/(Datos!T17+Datos!AL17))," - ")</f>
        <v>0.3867924528301887</v>
      </c>
      <c r="D17" s="459">
        <f>IF(ISNUMBER(
   IF(D_I="SI",(Datos!K17-Datos!U17)/Datos!U17,(Datos!K17+Datos!AE17-(Datos!U17+Datos!AM17))/(Datos!U17+Datos!AM17))
     ),IF(D_I="SI",(Datos!K17-Datos!U17)/Datos!U17,(Datos!K17+Datos!AE17-(Datos!U17+Datos!AM17))/(Datos!U17+Datos!AM17))," - ")</f>
        <v>0.21276595744680851</v>
      </c>
      <c r="E17" s="459">
        <f>IF(ISNUMBER(
   IF(D_I="SI",(Datos!L17-Datos!V17)/Datos!V17,(Datos!L17+Datos!AF17-(Datos!V17+Datos!AN17))/(Datos!V17+Datos!AN17))
     ),IF(D_I="SI",(Datos!L17-Datos!V17)/Datos!V17,(Datos!L17+Datos!AF17-(Datos!V17+Datos!AN17))/(Datos!V17+Datos!AN17))," - ")</f>
        <v>0.36144578313253012</v>
      </c>
      <c r="F17" s="459">
        <f>IF(ISNUMBER((Datos!M17-Datos!W17)/Datos!W17),(Datos!M17-Datos!W17)/Datos!W17," - ")</f>
        <v>0.7</v>
      </c>
      <c r="G17" s="460">
        <f>IF(ISNUMBER((Datos!N17-Datos!X17)/Datos!X17),(Datos!N17-Datos!X17)/Datos!X17," - ")</f>
        <v>0.15044247787610621</v>
      </c>
      <c r="H17" s="458">
        <f>IF(ISNUMBER(((NºAsuntos!G17/NºAsuntos!E17)-Datos!BD17)/Datos!BD17),((NºAsuntos!G17/NºAsuntos!E17)-Datos!BD17)/Datos!BD17," - ")</f>
        <v>-0.12548849326964825</v>
      </c>
      <c r="I17" s="459">
        <f>IF(ISNUMBER(((NºAsuntos!I17/NºAsuntos!G17)-Datos!BE17)/Datos!BE17),((NºAsuntos!I17/NºAsuntos!G17)-Datos!BE17)/Datos!BE17," - ")</f>
        <v>0.12259564574085817</v>
      </c>
      <c r="J17" s="464">
        <f>IF(ISNUMBER((('Resol  Asuntos'!D17/NºAsuntos!G17)-Datos!BF17)/Datos!BF17),(('Resol  Asuntos'!D17/NºAsuntos!G17)-Datos!BF17)/Datos!BF17," - ")</f>
        <v>0.40175438596491225</v>
      </c>
      <c r="K17" s="465">
        <f>IF(ISNUMBER((((NºAsuntos!C17+NºAsuntos!E17)/NºAsuntos!G17)-Datos!BG17)/Datos!BG17),(((NºAsuntos!C17+NºAsuntos!E17)/NºAsuntos!G17)-Datos!BG17)/Datos!BG17," - ")</f>
        <v>2.4774396054032838E-2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8.7693441414885775E-2</v>
      </c>
      <c r="C18" s="858">
        <f>IF(ISNUMBER(
   IF(Criterios!B14="SI",(Datos!J18-Datos!T18)/Datos!T18,(Datos!J18+Datos!AD18-(Datos!T18+Datos!AL18))/(Datos!T18+Datos!AL18))
     ),IF(Criterios!B14="SI",(Datos!J18-Datos!T18)/Datos!T18,(Datos!J18+Datos!AD18-(Datos!T18+Datos!AL18))/(Datos!T18+Datos!AL18))," - ")</f>
        <v>9.6657269432138537E-2</v>
      </c>
      <c r="D18" s="858">
        <f>IF(ISNUMBER(
   IF(Criterios!B14="SI",(Datos!K18-Datos!U18)/Datos!U18,(Datos!K18+Datos!AE18-(Datos!U18+Datos!AM18))/(Datos!U18+Datos!AM18))
     ),IF(Criterios!B14="SI",(Datos!K18-Datos!U18)/Datos!U18,(Datos!K18+Datos!AE18-(Datos!U18+Datos!AM18))/(Datos!U18+Datos!AM18))," - ")</f>
        <v>4.020700636942675E-2</v>
      </c>
      <c r="E18" s="858">
        <f>IF(ISNUMBER(
   IF(Criterios!B14="SI",(Datos!L18-Datos!V18)/Datos!V18,(Datos!L18+Datos!AF18-(Datos!V18+Datos!AN18))/(Datos!V18+Datos!AN18))
     ),IF(Criterios!B14="SI",(Datos!L18-Datos!V18)/Datos!V18,(Datos!L18+Datos!AF18-(Datos!V18+Datos!AN18))/(Datos!V18+Datos!AN18))," - ")</f>
        <v>0.1226044226044226</v>
      </c>
      <c r="F18" s="859">
        <f>IF(ISNUMBER((Datos!M18-Datos!W18)/Datos!W18),(Datos!M18-Datos!W18)/Datos!W18," - ")</f>
        <v>-4.7337278106508875E-2</v>
      </c>
      <c r="G18" s="860">
        <f>IF(ISNUMBER((Datos!N18-Datos!X18)/Datos!X18),(Datos!N18-Datos!X18)/Datos!X18," - ")</f>
        <v>0.11830535571542766</v>
      </c>
      <c r="H18" s="860">
        <f>IF(ISNUMBER(((NºAsuntos!G18/NºAsuntos!E18)-Datos!BD18)/Datos!BD18),((NºAsuntos!G18/NºAsuntos!E18)-Datos!BD18)/Datos!BD18," - ")</f>
        <v>-5.1474845091705253E-2</v>
      </c>
      <c r="I18" s="860">
        <f>IF(ISNUMBER(((NºAsuntos!I18/NºAsuntos!G18)-Datos!BE18)/Datos!BE18),((NºAsuntos!I18/NºAsuntos!G18)-Datos!BE18)/Datos!BE18," - ")</f>
        <v>7.9212518018488068E-2</v>
      </c>
      <c r="J18" s="860">
        <f>IF(ISNUMBER((('Resol  Asuntos'!D18/NºAsuntos!G18)-Datos!BF18)/Datos!BF18),(('Resol  Asuntos'!D18/NºAsuntos!G18)-Datos!BF18)/Datos!BF18," - ")</f>
        <v>-8.4160444930558867E-2</v>
      </c>
      <c r="K18" s="860">
        <f>IF(ISNUMBER((((NºAsuntos!C18+NºAsuntos!E18)/NºAsuntos!G18)-Datos!BG18)/Datos!BG18),(((NºAsuntos!C18+NºAsuntos!E18)/NºAsuntos!G18)-Datos!BG18)/Datos!BG18," - ")</f>
        <v>4.891565271690889E-2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2.2071911712353152E-2</v>
      </c>
      <c r="C19" s="805">
        <f>IF(ISNUMBER(
   IF(J_V="SI",(Datos!J19-Datos!T19)/Datos!T19,(Datos!J19+Datos!Z19-(Datos!T19+Datos!AH19))/(Datos!T19+Datos!AH19))
     ),IF(J_V="SI",(Datos!J19-Datos!T19)/Datos!T19,(Datos!J19+Datos!Z19-(Datos!T19+Datos!AH19))/(Datos!T19+Datos!AH19))," - ")</f>
        <v>0.14546159813809154</v>
      </c>
      <c r="D19" s="805">
        <f>IF(ISNUMBER(
   IF(J_V="SI",(Datos!K19-Datos!U19)/Datos!U19,(Datos!K19+Datos!AA19-(Datos!U19+Datos!AI19))/(Datos!U19+Datos!AI19))
     ),IF(J_V="SI",(Datos!K19-Datos!U19)/Datos!U19,(Datos!K19+Datos!AA19-(Datos!U19+Datos!AI19))/(Datos!U19+Datos!AI19))," - ")</f>
        <v>-4.1870992078460956E-2</v>
      </c>
      <c r="E19" s="805">
        <f>IF(ISNUMBER(
   IF(J_V="SI",(Datos!L19-Datos!V19)/Datos!V19,(Datos!L19+Datos!AB19-(Datos!V19+Datos!AJ19))/(Datos!V19+Datos!AJ19))
     ),IF(J_V="SI",(Datos!L19-Datos!V19)/Datos!V19,(Datos!L19+Datos!AB19-(Datos!V19+Datos!AJ19))/(Datos!V19+Datos!AJ19))," - ")</f>
        <v>0.10874449537161858</v>
      </c>
      <c r="F19" s="806">
        <f>IF(ISNUMBER((Datos!M19-Datos!W19)/Datos!W19),(Datos!M19-Datos!W19)/Datos!W19," - ")</f>
        <v>-6.5031982942430705E-2</v>
      </c>
      <c r="G19" s="807">
        <f>IF(ISNUMBER((Datos!N19-Datos!X19)/Datos!X19),(Datos!N19-Datos!X19)/Datos!X19," - ")</f>
        <v>9.0634441087613302E-3</v>
      </c>
      <c r="H19" s="808">
        <f>IF(ISNUMBER((Tasas!B19-Datos!BD19)/Datos!BD19),(Tasas!B19-Datos!BD19)/Datos!BD19," - ")</f>
        <v>-0.16354331783890019</v>
      </c>
      <c r="I19" s="809">
        <f>IF(ISNUMBER((Tasas!C19-Datos!BE19)/Datos!BE19),(Tasas!C19-Datos!BE19)/Datos!BE19," - ")</f>
        <v>0.15719750284652018</v>
      </c>
      <c r="J19" s="810">
        <f>IF(ISNUMBER((Tasas!D19-Datos!BF19)/Datos!BF19),(Tasas!D19-Datos!BF19)/Datos!BF19," - ")</f>
        <v>-0.3494487629344839</v>
      </c>
      <c r="K19" s="810">
        <f>IF(ISNUMBER((Tasas!E19-Datos!BG19)/Datos!BG19),(Tasas!E19-Datos!BG19)/Datos!BG19," - ")</f>
        <v>0.10724479580974788</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cNkFLLg3LncYxk4tgTXS6iEt5i4DO3L1f7cw3pW1zpakWYSo/KMN7J+Z4nWUuBSHXfgCOGR3dx08nrU65FkWlQ==" saltValue="jj/cBjqMRJpH0fyr8yskh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TARRAGONA</v>
      </c>
    </row>
    <row r="4" spans="1:7" ht="11.25" customHeight="1" thickBot="1">
      <c r="B4" s="394" t="str">
        <f>Criterios!A11 &amp;"  "&amp;Criterios!B11</f>
        <v>Resumenes por Partidos Judiciales  EL VENDRELL</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1.0606060606060606</v>
      </c>
      <c r="C10" s="446">
        <f>IF(ISNUMBER(NºAsuntos!I10/NºAsuntos!G10),NºAsuntos!I10/NºAsuntos!G10," - ")</f>
        <v>2.9142857142857141</v>
      </c>
      <c r="D10" s="447">
        <f>IF(ISNUMBER('Resol  Asuntos'!D10/NºAsuntos!G10),'Resol  Asuntos'!D10/NºAsuntos!G10," - ")</f>
        <v>0.37142857142857144</v>
      </c>
      <c r="E10" s="448">
        <f>IF(ISNUMBER((NºAsuntos!C10+NºAsuntos!E10)/NºAsuntos!G10),(NºAsuntos!C10+NºAsuntos!E10)/NºAsuntos!G10," - ")</f>
        <v>3.9142857142857141</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0.77206349206349212</v>
      </c>
      <c r="C12" s="446">
        <f>IF(ISNUMBER(NºAsuntos!I12/NºAsuntos!G12),NºAsuntos!I12/NºAsuntos!G12," - ")</f>
        <v>3.1521381578947367</v>
      </c>
      <c r="D12" s="447">
        <f>IF(ISNUMBER('Resol  Asuntos'!D12/NºAsuntos!G12),'Resol  Asuntos'!D12/NºAsuntos!G12," - ")</f>
        <v>0.22286184210526316</v>
      </c>
      <c r="E12" s="448">
        <f>IF(ISNUMBER((NºAsuntos!C12+NºAsuntos!E12)/NºAsuntos!G12),(NºAsuntos!C12+NºAsuntos!E12)/NºAsuntos!G12," - ")</f>
        <v>4.1537828947368425</v>
      </c>
      <c r="G12" s="466"/>
    </row>
    <row r="13" spans="1:7" ht="14.25" thickTop="1" thickBot="1">
      <c r="A13" s="851" t="str">
        <f>Datos!A13</f>
        <v>TOTAL</v>
      </c>
      <c r="B13" s="861">
        <f>IF(ISNUMBER(NºAsuntos!G13/NºAsuntos!E13),NºAsuntos!G13/NºAsuntos!E13," - ")</f>
        <v>0.77505497957901348</v>
      </c>
      <c r="C13" s="862">
        <f>IF(ISNUMBER(NºAsuntos!I13/NºAsuntos!G13),NºAsuntos!I13/NºAsuntos!G13," - ")</f>
        <v>3.1487636805837047</v>
      </c>
      <c r="D13" s="863">
        <f>IF(ISNUMBER('Resol  Asuntos'!D13/NºAsuntos!G13),'Resol  Asuntos'!D13/NºAsuntos!G13," - ")</f>
        <v>0.224969598702878</v>
      </c>
      <c r="E13" s="864">
        <f>IF(ISNUMBER((NºAsuntos!C13+NºAsuntos!E13)/NºAsuntos!G13),(NºAsuntos!C13+NºAsuntos!E13)/NºAsuntos!G13," - ")</f>
        <v>4.1503850830968787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0.95841910251132156</v>
      </c>
      <c r="C16" s="446">
        <f>IF(ISNUMBER(NºAsuntos!I16/NºAsuntos!G16),NºAsuntos!I16/NºAsuntos!G16," - ")</f>
        <v>1.9140893470790379</v>
      </c>
      <c r="D16" s="447">
        <f>IF(ISNUMBER('Resol  Asuntos'!D16/NºAsuntos!G16),'Resol  Asuntos'!D16/NºAsuntos!G16," - ")</f>
        <v>0.13101374570446736</v>
      </c>
      <c r="E16" s="448">
        <f>IF(ISNUMBER((NºAsuntos!C16+NºAsuntos!E16)/NºAsuntos!G16),(NºAsuntos!C16+NºAsuntos!E16)/NºAsuntos!G16," - ")</f>
        <v>2.9046391752577319</v>
      </c>
      <c r="G16" s="466"/>
    </row>
    <row r="17" spans="1:7" ht="13.5" thickBot="1">
      <c r="A17" s="405" t="str">
        <f>Datos!A17</f>
        <v>Jdos. Violencia contra la mujer</v>
      </c>
      <c r="B17" s="445">
        <f>IF(ISNUMBER(NºAsuntos!G17/NºAsuntos!E17),NºAsuntos!G17/NºAsuntos!E17," - ")</f>
        <v>0.96938775510204078</v>
      </c>
      <c r="C17" s="446">
        <f>IF(ISNUMBER(NºAsuntos!I17/NºAsuntos!G17),NºAsuntos!I17/NºAsuntos!G17," - ")</f>
        <v>0.39649122807017545</v>
      </c>
      <c r="D17" s="447">
        <f>IF(ISNUMBER('Resol  Asuntos'!D17/NºAsuntos!G17),'Resol  Asuntos'!D17/NºAsuntos!G17," - ")</f>
        <v>5.9649122807017542E-2</v>
      </c>
      <c r="E17" s="448">
        <f>IF(ISNUMBER((NºAsuntos!C17+NºAsuntos!E17)/NºAsuntos!G17),(NºAsuntos!C17+NºAsuntos!E17)/NºAsuntos!G17," - ")</f>
        <v>1.3649122807017544</v>
      </c>
      <c r="G17" s="466"/>
    </row>
    <row r="18" spans="1:7" ht="14.25" thickTop="1" thickBot="1">
      <c r="A18" s="851" t="str">
        <f>Datos!A18</f>
        <v>TOTAL</v>
      </c>
      <c r="B18" s="861">
        <f>IF(ISNUMBER(NºAsuntos!G18/NºAsuntos!E18),NºAsuntos!G18/NºAsuntos!E18," - ")</f>
        <v>0.9596033786265149</v>
      </c>
      <c r="C18" s="862">
        <f>IF(ISNUMBER(NºAsuntos!I18/NºAsuntos!G18),NºAsuntos!I18/NºAsuntos!G18," - ")</f>
        <v>1.7485648679678529</v>
      </c>
      <c r="D18" s="865">
        <f>IF(ISNUMBER('Resol  Asuntos'!D18/NºAsuntos!G18),'Resol  Asuntos'!D18/NºAsuntos!G18," - ")</f>
        <v>0.12323000382701875</v>
      </c>
      <c r="E18" s="864">
        <f>IF(ISNUMBER((NºAsuntos!C18+NºAsuntos!E18)/NºAsuntos!G18),(NºAsuntos!C18+NºAsuntos!E18)/NºAsuntos!G18," - ")</f>
        <v>2.7367011098354381</v>
      </c>
      <c r="G18" s="466"/>
    </row>
    <row r="19" spans="1:7" ht="15.75" customHeight="1" thickTop="1" thickBot="1">
      <c r="A19" s="796" t="str">
        <f>Datos!A19</f>
        <v>TOTAL JURISDICCIONES</v>
      </c>
      <c r="B19" s="811">
        <f>IF(ISNUMBER(NºAsuntos!G19/NºAsuntos!E19),NºAsuntos!G19/NºAsuntos!E19," - ")</f>
        <v>0.86014222824246533</v>
      </c>
      <c r="C19" s="812">
        <f>IF(ISNUMBER(NºAsuntos!I19/NºAsuntos!G19),NºAsuntos!I19/NºAsuntos!G19," - ")</f>
        <v>2.4285433070866143</v>
      </c>
      <c r="D19" s="813">
        <f>IF(ISNUMBER('Resol  Asuntos'!D19/NºAsuntos!G19),'Resol  Asuntos'!D19/NºAsuntos!G19," - ")</f>
        <v>0.17263779527559056</v>
      </c>
      <c r="E19" s="814">
        <f>IF(ISNUMBER((NºAsuntos!C19+NºAsuntos!E19)/NºAsuntos!G19),(NºAsuntos!C19+NºAsuntos!E19)/NºAsuntos!G19," - ")</f>
        <v>3.423228346456693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6uYuCBKNgd4/r4/z35MuH7r6uXk1WXuVFO1w7dS3mOEeM3j3ANPpqlSmMongyAd0fMZodwQ1iFkKdBLffmzJQ==" saltValue="C6e8ja2wc3sj1x6b5bQdr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TARRAGONA</v>
      </c>
      <c r="N2" s="265" t="str">
        <f>Criterios!A11 &amp;"  "&amp;Criterios!B11</f>
        <v>Resumenes por Partidos Judiciales  EL VENDRELL</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1</v>
      </c>
      <c r="F10" s="228">
        <f>IF(ISNUMBER(Datos!L10+Datos!K10-Datos!J10-K10),Datos!L10+Datos!K10-Datos!J10-K10," - ")</f>
        <v>104</v>
      </c>
      <c r="G10" s="336">
        <f>IF(ISNUMBER(Datos!I10),Datos!I10," - ")</f>
        <v>104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5</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35</v>
      </c>
      <c r="X10" s="229">
        <f>IF(ISNUMBER(Datos!Q10),Datos!Q10," - ")</f>
        <v>1</v>
      </c>
      <c r="Y10" s="337">
        <f t="shared" ref="Y10:Y12" si="0">SUM(W10:X10)</f>
        <v>36</v>
      </c>
      <c r="Z10" s="338" t="str">
        <f>IF(ISNUMBER(Datos!CC10),Datos!CC10," - ")</f>
        <v xml:space="preserve"> - </v>
      </c>
      <c r="AA10" s="335">
        <f>IF(ISNUMBER(Datos!L10),Datos!L10,"-")</f>
        <v>102</v>
      </c>
      <c r="AB10" s="337">
        <f>IF(ISNUMBER(Datos!R10),Datos!R10," - ")</f>
        <v>101</v>
      </c>
      <c r="AC10" s="337">
        <f t="shared" ref="AC10:AC12" si="1">IF(ISNUMBER(AA10+AB10),AA10+AB10," - ")</f>
        <v>203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13</v>
      </c>
      <c r="AJ10" s="234" t="str">
        <f>IF(ISNUMBER(Datos!BW10),Datos!BW10," - ")</f>
        <v xml:space="preserve"> - </v>
      </c>
      <c r="AK10" s="235" t="str">
        <f>IF(ISNUMBER(Datos!BX10),Datos!BX10," - ")</f>
        <v xml:space="preserve"> - </v>
      </c>
      <c r="AL10" s="246">
        <f>IF(ISNUMBER(NºAsuntos!G10/NºAsuntos!E10),NºAsuntos!G10/NºAsuntos!E10," - ")</f>
        <v>1.0606060606060606</v>
      </c>
      <c r="AM10" s="263">
        <f>IF(ISNUMBER(((NºAsuntos!I10/NºAsuntos!G10)*11)/factor_trimestre),((NºAsuntos!I10/NºAsuntos!G10)*11)/factor_trimestre," - ")</f>
        <v>8.7428571428571438</v>
      </c>
      <c r="AN10" s="247">
        <f>IF(ISNUMBER('Resol  Asuntos'!D10/NºAsuntos!G10),'Resol  Asuntos'!D10/NºAsuntos!G10," - ")</f>
        <v>0.37142857142857144</v>
      </c>
      <c r="AO10" s="248">
        <f>IF(ISNUMBER((NºAsuntos!C10+NºAsuntos!E10)/NºAsuntos!G10),(NºAsuntos!C10+NºAsuntos!E10)/NºAsuntos!G10," - ")</f>
        <v>3.9142857142857141</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9</v>
      </c>
      <c r="B12" s="278" t="s">
        <v>249</v>
      </c>
      <c r="C12" s="7" t="str">
        <f>Datos!A12</f>
        <v xml:space="preserve">Jdos. 1ª Instª. e Instr.                        </v>
      </c>
      <c r="D12" s="7"/>
      <c r="E12" s="1028">
        <f>IF(ISNUMBER(Datos!AQ12),Datos!AQ12," - ")</f>
        <v>9</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765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675</v>
      </c>
      <c r="Y12" s="337">
        <f t="shared" si="0"/>
        <v>675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14295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542</v>
      </c>
      <c r="AJ12" s="232" t="str">
        <f>IF(ISNUMBER(Datos!BW12),Datos!BW12," - ")</f>
        <v xml:space="preserve"> - </v>
      </c>
      <c r="AK12" s="231" t="str">
        <f>IF(ISNUMBER(Datos!BX12),Datos!BX12," - ")</f>
        <v xml:space="preserve"> - </v>
      </c>
      <c r="AL12" s="246">
        <f>IF(ISNUMBER(NºAsuntos!G12/NºAsuntos!E12),NºAsuntos!G12/NºAsuntos!E12," - ")</f>
        <v>0.77206349206349212</v>
      </c>
      <c r="AM12" s="263">
        <f>IF(ISNUMBER(((NºAsuntos!I12/NºAsuntos!G12)*11)/factor_trimestre),((NºAsuntos!I12/NºAsuntos!G12)*11)/factor_trimestre," - ")</f>
        <v>9.4564144736842106</v>
      </c>
      <c r="AN12" s="247">
        <f>IF(ISNUMBER('Resol  Asuntos'!D12/NºAsuntos!G12),'Resol  Asuntos'!D12/NºAsuntos!G12," - ")</f>
        <v>0.22286184210526316</v>
      </c>
      <c r="AO12" s="248">
        <f>IF(ISNUMBER((NºAsuntos!C12+NºAsuntos!E12)/NºAsuntos!G12),(NºAsuntos!C12+NºAsuntos!E12)/NºAsuntos!G12," - ")</f>
        <v>4.1537828947368425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10</v>
      </c>
      <c r="F13" s="868">
        <f t="shared" si="3"/>
        <v>104</v>
      </c>
      <c r="G13" s="869">
        <f t="shared" si="3"/>
        <v>104</v>
      </c>
      <c r="H13" s="868">
        <f t="shared" si="3"/>
        <v>0</v>
      </c>
      <c r="I13" s="870">
        <f t="shared" si="3"/>
        <v>0</v>
      </c>
      <c r="J13" s="870">
        <f t="shared" si="3"/>
        <v>0</v>
      </c>
      <c r="K13" s="870">
        <f t="shared" si="3"/>
        <v>0</v>
      </c>
      <c r="L13" s="870">
        <f t="shared" si="3"/>
        <v>770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35</v>
      </c>
      <c r="X13" s="870">
        <f t="shared" si="4"/>
        <v>676</v>
      </c>
      <c r="Y13" s="871">
        <f t="shared" si="4"/>
        <v>711</v>
      </c>
      <c r="Z13" s="871">
        <f t="shared" si="4"/>
        <v>0</v>
      </c>
      <c r="AA13" s="871">
        <f t="shared" si="4"/>
        <v>102</v>
      </c>
      <c r="AB13" s="871">
        <f t="shared" si="4"/>
        <v>14396</v>
      </c>
      <c r="AC13" s="871">
        <f t="shared" si="4"/>
        <v>203</v>
      </c>
      <c r="AD13" s="871">
        <f t="shared" si="4"/>
        <v>0</v>
      </c>
      <c r="AE13" s="875">
        <f t="shared" si="4"/>
        <v>0</v>
      </c>
      <c r="AF13" s="868">
        <f t="shared" si="4"/>
        <v>0</v>
      </c>
      <c r="AG13" s="876">
        <f t="shared" si="4"/>
        <v>0</v>
      </c>
      <c r="AH13" s="873">
        <f t="shared" si="4"/>
        <v>0</v>
      </c>
      <c r="AI13" s="868">
        <f t="shared" si="4"/>
        <v>555</v>
      </c>
      <c r="AJ13" s="870">
        <f t="shared" si="4"/>
        <v>0</v>
      </c>
      <c r="AK13" s="873">
        <f>SUBTOTAL(9,AK9:AK12)</f>
        <v>0</v>
      </c>
      <c r="AL13" s="877">
        <f>IF(ISNUMBER(NºAsuntos!G13/NºAsuntos!E13),NºAsuntos!G13/NºAsuntos!E13," - ")</f>
        <v>0.77505497957901348</v>
      </c>
      <c r="AM13" s="877">
        <f>IF(ISNUMBER(((NºAsuntos!I13/NºAsuntos!G13)*11)/factor_trimestre),((NºAsuntos!I13/NºAsuntos!G13)*11)/factor_trimestre," - ")</f>
        <v>9.446291041751115</v>
      </c>
      <c r="AN13" s="878">
        <f>IF(ISNUMBER('Resol  Asuntos'!D13/NºAsuntos!G13),'Resol  Asuntos'!D13/NºAsuntos!G13," - ")</f>
        <v>0.224969598702878</v>
      </c>
      <c r="AO13" s="879">
        <f>IF(ISNUMBER((NºAsuntos!C13+NºAsuntos!E13)/NºAsuntos!G13),(NºAsuntos!C13+NºAsuntos!E13)/NºAsuntos!G13," - ")</f>
        <v>4.1503850830968787</v>
      </c>
      <c r="AP13" s="880" t="str">
        <f t="shared" si="2"/>
        <v xml:space="preserve"> - </v>
      </c>
      <c r="AQ13" s="880">
        <f>IF(ISNUMBER((H13-W13+K13)/(F13)),(H13-W13+K13)/(F13)," - ")</f>
        <v>-0.33653846153846156</v>
      </c>
      <c r="AR13" s="881">
        <f>IF(ISNUMBER((Datos!P13-Datos!Q13)/(Datos!R13-Datos!P13+Datos!Q13)),(Datos!P13-Datos!Q13)/(Datos!R13-Datos!P13+Datos!Q13)," - ")</f>
        <v>6.5725073416305416E-3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9</v>
      </c>
      <c r="B16" s="278" t="s">
        <v>400</v>
      </c>
      <c r="C16" s="163" t="str">
        <f>Datos!A16</f>
        <v xml:space="preserve">Jdos. 1ª Instª. e Instr.                        </v>
      </c>
      <c r="D16" s="163"/>
      <c r="E16" s="1028">
        <f>IF(ISNUMBER(Datos!AQ16),Datos!AQ16," - ")</f>
        <v>9</v>
      </c>
      <c r="F16" s="228">
        <f>IF(ISNUMBER(AA16+W16-Datos!J16-K16),AA16+W16-Datos!J16-K16," - ")</f>
        <v>4355</v>
      </c>
      <c r="G16" s="336">
        <f>IF(ISNUMBER(IF(D_I="SI",Datos!I16,Datos!I16+Datos!AC16)),IF(D_I="SI",Datos!I16,Datos!I16+Datos!AC16)," - ")</f>
        <v>4333</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2328</v>
      </c>
      <c r="X16" s="229">
        <f>IF(ISNUMBER(Datos!Q16),Datos!Q16," - ")</f>
        <v>76</v>
      </c>
      <c r="Y16" s="337">
        <f t="shared" ref="Y16:Y17" si="7">SUM(W16:X16)</f>
        <v>2404</v>
      </c>
      <c r="Z16" s="338" t="str">
        <f>IF(ISNUMBER(Datos!CC16),Datos!CC16," - ")</f>
        <v xml:space="preserve"> - </v>
      </c>
      <c r="AA16" s="335">
        <f>IF(ISNUMBER(IF(D_I="SI",Datos!L16,Datos!L16+Datos!AF16)),IF(D_I="SI",Datos!L16,Datos!L16+Datos!AF16)," - ")</f>
        <v>4456</v>
      </c>
      <c r="AB16" s="337">
        <f>IF(ISNUMBER(Datos!R16),Datos!R16," - ")</f>
        <v>334</v>
      </c>
      <c r="AC16" s="337">
        <f t="shared" si="6"/>
        <v>4790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305</v>
      </c>
      <c r="AJ16" s="234" t="str">
        <f>IF(ISNUMBER(Datos!BW16),Datos!BW16," - ")</f>
        <v xml:space="preserve"> - </v>
      </c>
      <c r="AK16" s="235" t="str">
        <f>IF(ISNUMBER(Datos!BX16),Datos!BX16," - ")</f>
        <v xml:space="preserve"> - </v>
      </c>
      <c r="AL16" s="246">
        <f>IF(ISNUMBER(NºAsuntos!G16/NºAsuntos!E16),NºAsuntos!G16/NºAsuntos!E16," - ")</f>
        <v>0.95841910251132156</v>
      </c>
      <c r="AM16" s="263">
        <f>IF(ISNUMBER(((NºAsuntos!I16/NºAsuntos!G16)*11)/factor_trimestre),((NºAsuntos!I16/NºAsuntos!G16)*11)/factor_trimestre," - ")</f>
        <v>5.7422680412371134</v>
      </c>
      <c r="AN16" s="247">
        <f>IF(ISNUMBER('Resol  Asuntos'!D16/NºAsuntos!G16),'Resol  Asuntos'!D16/NºAsuntos!G16," - ")</f>
        <v>0.13101374570446736</v>
      </c>
      <c r="AO16" s="248">
        <f>IF(ISNUMBER((NºAsuntos!C16+NºAsuntos!E16)/NºAsuntos!G16),(NºAsuntos!C16+NºAsuntos!E16)/NºAsuntos!G16," - ")</f>
        <v>2.9046391752577319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95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285</v>
      </c>
      <c r="X17" s="229">
        <f>IF(ISNUMBER(Datos!Q17),Datos!Q17," - ")</f>
        <v>2</v>
      </c>
      <c r="Y17" s="337">
        <f t="shared" si="7"/>
        <v>287</v>
      </c>
      <c r="Z17" s="338" t="str">
        <f>IF(ISNUMBER(Datos!CC17),Datos!CC17," - ")</f>
        <v xml:space="preserve"> - </v>
      </c>
      <c r="AA17" s="335">
        <f>IF(ISNUMBER(Datos!L17),Datos!L17,"-")</f>
        <v>113</v>
      </c>
      <c r="AB17" s="337">
        <f>IF(ISNUMBER(Datos!R17),Datos!R17," - ")</f>
        <v>6</v>
      </c>
      <c r="AC17" s="337">
        <f t="shared" si="6"/>
        <v>119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17</v>
      </c>
      <c r="AJ17" s="234" t="str">
        <f>IF(ISNUMBER(Datos!BW17),Datos!BW17," - ")</f>
        <v xml:space="preserve"> - </v>
      </c>
      <c r="AK17" s="235" t="str">
        <f>IF(ISNUMBER(Datos!BX17),Datos!BX17," - ")</f>
        <v xml:space="preserve"> - </v>
      </c>
      <c r="AL17" s="246">
        <f>IF(ISNUMBER(NºAsuntos!G17/NºAsuntos!E17),NºAsuntos!G17/NºAsuntos!E17," - ")</f>
        <v>0.96938775510204078</v>
      </c>
      <c r="AM17" s="263">
        <f>IF(ISNUMBER(((NºAsuntos!I17/NºAsuntos!G17)*11)/factor_trimestre),((NºAsuntos!I17/NºAsuntos!G17)*11)/factor_trimestre," - ")</f>
        <v>1.1894736842105262</v>
      </c>
      <c r="AN17" s="247">
        <f>IF(ISNUMBER('Resol  Asuntos'!D17/NºAsuntos!G17),'Resol  Asuntos'!D17/NºAsuntos!G17," - ")</f>
        <v>5.9649122807017542E-2</v>
      </c>
      <c r="AO17" s="248">
        <f>IF(ISNUMBER((NºAsuntos!C17+NºAsuntos!E17)/NºAsuntos!G17),(NºAsuntos!C17+NºAsuntos!E17)/NºAsuntos!G17," - ")</f>
        <v>1.3649122807017544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10</v>
      </c>
      <c r="F18" s="868">
        <f>SUBTOTAL(9,F14:F17)</f>
        <v>4355</v>
      </c>
      <c r="G18" s="869">
        <f>SUBTOTAL(9,G15:G17)</f>
        <v>4428</v>
      </c>
      <c r="H18" s="868">
        <f t="shared" ref="H18:O18" si="10">SUBTOTAL(9,H14:H17)</f>
        <v>0</v>
      </c>
      <c r="I18" s="870">
        <f t="shared" si="10"/>
        <v>0</v>
      </c>
      <c r="J18" s="870">
        <f t="shared" si="10"/>
        <v>0</v>
      </c>
      <c r="K18" s="870">
        <f t="shared" si="10"/>
        <v>0</v>
      </c>
      <c r="L18" s="870">
        <f t="shared" si="10"/>
        <v>48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2613</v>
      </c>
      <c r="X18" s="870">
        <f t="shared" si="11"/>
        <v>78</v>
      </c>
      <c r="Y18" s="871">
        <f t="shared" si="11"/>
        <v>2691</v>
      </c>
      <c r="Z18" s="871">
        <f t="shared" si="11"/>
        <v>0</v>
      </c>
      <c r="AA18" s="871">
        <f t="shared" si="11"/>
        <v>4569</v>
      </c>
      <c r="AB18" s="871">
        <f t="shared" si="11"/>
        <v>340</v>
      </c>
      <c r="AC18" s="871">
        <f t="shared" si="11"/>
        <v>4909</v>
      </c>
      <c r="AD18" s="871">
        <f t="shared" si="11"/>
        <v>0</v>
      </c>
      <c r="AE18" s="875">
        <f t="shared" si="11"/>
        <v>0</v>
      </c>
      <c r="AF18" s="868">
        <f t="shared" si="11"/>
        <v>0</v>
      </c>
      <c r="AG18" s="876">
        <f t="shared" si="11"/>
        <v>0</v>
      </c>
      <c r="AH18" s="873">
        <f t="shared" si="11"/>
        <v>0</v>
      </c>
      <c r="AI18" s="868">
        <f t="shared" si="11"/>
        <v>322</v>
      </c>
      <c r="AJ18" s="870">
        <f t="shared" si="11"/>
        <v>0</v>
      </c>
      <c r="AK18" s="873">
        <f t="shared" si="11"/>
        <v>0</v>
      </c>
      <c r="AL18" s="877">
        <f>IF(ISNUMBER(NºAsuntos!G18/NºAsuntos!E18),NºAsuntos!G18/NºAsuntos!E18," - ")</f>
        <v>0.9596033786265149</v>
      </c>
      <c r="AM18" s="877">
        <f>IF(ISNUMBER(((NºAsuntos!I18/NºAsuntos!G18)*11)/factor_trimestre),((NºAsuntos!I18/NºAsuntos!G18)*11)/factor_trimestre," - ")</f>
        <v>5.2456946039035595</v>
      </c>
      <c r="AN18" s="878">
        <f>IF(ISNUMBER('Resol  Asuntos'!D18/NºAsuntos!G18),'Resol  Asuntos'!D18/NºAsuntos!G18," - ")</f>
        <v>0.12323000382701875</v>
      </c>
      <c r="AO18" s="879">
        <f>IF(ISNUMBER((NºAsuntos!C18+NºAsuntos!E18)/NºAsuntos!G18),(NºAsuntos!C18+NºAsuntos!E18)/NºAsuntos!G18," - ")</f>
        <v>2.7367011098354381</v>
      </c>
      <c r="AP18" s="880" t="str">
        <f t="shared" si="2"/>
        <v xml:space="preserve"> - </v>
      </c>
      <c r="AQ18" s="880">
        <f>IF(ISNUMBER((H18-W18+K18)/(F18)),(H18-W18+K18)/(F18)," - ")</f>
        <v>-0.6</v>
      </c>
      <c r="AR18" s="881">
        <f>IF(ISNUMBER((Datos!P18-Datos!Q18)/(Datos!R18-Datos!P18+Datos!Q18)),(Datos!P18-Datos!Q18)/(Datos!R18-Datos!P18+Datos!Q18)," - ")</f>
        <v>-8.1081081081081086E-2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20</v>
      </c>
      <c r="F19" s="823">
        <f t="shared" si="13"/>
        <v>4459</v>
      </c>
      <c r="G19" s="824">
        <f t="shared" si="13"/>
        <v>4532</v>
      </c>
      <c r="H19" s="823">
        <f t="shared" si="13"/>
        <v>0</v>
      </c>
      <c r="I19" s="825">
        <f t="shared" si="13"/>
        <v>0</v>
      </c>
      <c r="J19" s="825">
        <f t="shared" si="13"/>
        <v>0</v>
      </c>
      <c r="K19" s="884">
        <f t="shared" si="13"/>
        <v>0</v>
      </c>
      <c r="L19" s="825">
        <f t="shared" si="13"/>
        <v>818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2648</v>
      </c>
      <c r="X19" s="824">
        <f t="shared" si="14"/>
        <v>754</v>
      </c>
      <c r="Y19" s="831">
        <f t="shared" si="14"/>
        <v>3402</v>
      </c>
      <c r="Z19" s="831">
        <f t="shared" si="14"/>
        <v>0</v>
      </c>
      <c r="AA19" s="831">
        <f t="shared" si="14"/>
        <v>4671</v>
      </c>
      <c r="AB19" s="831">
        <f t="shared" si="14"/>
        <v>14736</v>
      </c>
      <c r="AC19" s="831">
        <f t="shared" si="14"/>
        <v>5112</v>
      </c>
      <c r="AD19" s="831">
        <f t="shared" si="14"/>
        <v>0</v>
      </c>
      <c r="AE19" s="833">
        <f t="shared" si="14"/>
        <v>0</v>
      </c>
      <c r="AF19" s="834">
        <f t="shared" si="14"/>
        <v>0</v>
      </c>
      <c r="AG19" s="835">
        <f t="shared" si="14"/>
        <v>0</v>
      </c>
      <c r="AH19" s="833">
        <f t="shared" si="14"/>
        <v>0</v>
      </c>
      <c r="AI19" s="823">
        <f t="shared" si="14"/>
        <v>877</v>
      </c>
      <c r="AJ19" s="823">
        <f t="shared" si="14"/>
        <v>0</v>
      </c>
      <c r="AK19" s="833">
        <f t="shared" si="14"/>
        <v>0</v>
      </c>
      <c r="AL19" s="887">
        <f>IF(ISNUMBER(NºAsuntos!G19/NºAsuntos!E19),NºAsuntos!G19/NºAsuntos!E19," - ")</f>
        <v>0.86014222824246533</v>
      </c>
      <c r="AM19" s="888">
        <f>IF(ISNUMBER(((NºAsuntos!I19/NºAsuntos!G19)*11)/factor_trimestre),((NºAsuntos!I19/NºAsuntos!G19)*11)/factor_trimestre," - ")</f>
        <v>7.2856299212598437</v>
      </c>
      <c r="AN19" s="888">
        <f>IF(ISNUMBER('Resol  Asuntos'!D19/NºAsuntos!G19),'Resol  Asuntos'!D19/NºAsuntos!G19," - ")</f>
        <v>0.17263779527559056</v>
      </c>
      <c r="AO19" s="889">
        <f>IF(ISNUMBER((NºAsuntos!C19+NºAsuntos!E19)/NºAsuntos!G19),(NºAsuntos!C19+NºAsuntos!E19)/NºAsuntos!G19," - ")</f>
        <v>3.423228346456693</v>
      </c>
      <c r="AP19" s="890" t="str">
        <f t="shared" si="2"/>
        <v xml:space="preserve"> - </v>
      </c>
      <c r="AQ19" s="891">
        <f>IF(OR(ISNUMBER(FIND("01",Criterios!A8,1)),ISNUMBER(FIND("02",Criterios!A8,1)),ISNUMBER(FIND("03",Criterios!A8,1)),ISNUMBER(FIND("04",Criterios!A8,1))),(I19-W19+K19)/(F19-K19),(H19-W19+K19)/(F19-K19))</f>
        <v>-0.59385512446736932</v>
      </c>
      <c r="AR19" s="892">
        <f>IF(ISNUMBER((Datos!P19-Datos!Q19)/(Datos!R19-Datos!P19+Datos!Q19)),(Datos!P19-Datos!Q19)/(Datos!R19-Datos!P19+Datos!Q19)," - ")</f>
        <v>4.3620501635768813E-3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1812.8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4.8247049420433763</v>
      </c>
      <c r="F21" s="255">
        <f>IF(ISNUMBER(STDEV(F8:F18)),STDEV(F8:F18),"-")</f>
        <v>2454.3159943250989</v>
      </c>
      <c r="G21" s="256">
        <f>IF(ISNUMBER(STDEV(G8:G18)),STDEV(G8:G18),"-")</f>
        <v>2344.2221951001147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1296.2932538588634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239.25021769408417</v>
      </c>
      <c r="AJ21" s="255">
        <f t="shared" si="18"/>
        <v>0</v>
      </c>
      <c r="AK21" s="257">
        <f t="shared" si="18"/>
        <v>0</v>
      </c>
      <c r="AL21" s="252">
        <f t="shared" si="18"/>
        <v>0.11665752643687777</v>
      </c>
      <c r="AM21" s="253">
        <f t="shared" si="18"/>
        <v>3.2461567188271654</v>
      </c>
      <c r="AN21" s="253">
        <f t="shared" si="18"/>
        <v>0.10967246506642797</v>
      </c>
      <c r="AO21" s="254">
        <f t="shared" si="18"/>
        <v>1.0947572133437629</v>
      </c>
      <c r="AP21" s="294" t="str">
        <f t="shared" si="18"/>
        <v>-</v>
      </c>
      <c r="AQ21" s="295">
        <f t="shared" si="18"/>
        <v>0.18629544042799415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xy/HVh/f/iJsOlx0fVKW813kNpqOugV09FJlLzi/vxdPf0xf3ifZw5908SRH/E6kxkTgM+yBeAZRJszwHTV5EQ==" saltValue="twuEWZJXbNV2HMCnPslPu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TARRAGONA</v>
      </c>
      <c r="E3" s="266"/>
    </row>
    <row r="4" spans="2:20" ht="17.25" customHeight="1" thickBot="1">
      <c r="D4" s="265" t="str">
        <f>Criterios!A11 &amp;"  "&amp;Criterios!B11</f>
        <v>Resumenes por Partidos Judiciales  EL VENDRELL</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0.31645569620253167</v>
      </c>
      <c r="E10" s="351">
        <f>IF(ISNUMBER((Datos!J10-Datos!T10)/Datos!T10),(Datos!J10-Datos!T10)/Datos!T10," - ")</f>
        <v>-0.13157894736842105</v>
      </c>
      <c r="F10" s="351">
        <f>IF(ISNUMBER((Datos!K10-Datos!U10)/Datos!U10),(Datos!K10-Datos!U10)/Datos!U10," - ")</f>
        <v>2.9411764705882353E-2</v>
      </c>
      <c r="G10" s="352">
        <f>IF(ISNUMBER((Datos!L10-Datos!V10)/Datos!V10),(Datos!L10-Datos!V10)/Datos!V10," - ")</f>
        <v>0.2289156626506024</v>
      </c>
      <c r="H10" s="233">
        <f>IF(ISNUMBER((Datos!M10-Datos!W10)/Datos!W10),(Datos!M10-Datos!W10)/Datos!W10," - ")</f>
        <v>-0.13333333333333333</v>
      </c>
      <c r="I10" s="353">
        <f>IF(ISNUMBER((Tasas!C10-Datos!BE10)/Datos!BE10),(Tasas!C10-Datos!BE10)/Datos!BE10," - ")</f>
        <v>0.19380378657487074</v>
      </c>
      <c r="J10" s="352">
        <f>IF(ISNUMBER((Tasas!D10-Datos!BF10)/Datos!BF10),(Tasas!D10-Datos!BF10)/Datos!BF10," - ")</f>
        <v>-0.15809523809523804</v>
      </c>
      <c r="K10" s="354">
        <f>IF(ISNUMBER((Tasas!E10-Datos!BG10)/Datos!BG10),(Tasas!E10-Datos!BG10)/Datos!BG10," - ")</f>
        <v>0.13748473748473738</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-7.3504273504273507E-2</v>
      </c>
      <c r="I12" s="353">
        <f>IF(ISNUMBER((Tasas!C12-Datos!BE12)/Datos!BE12),(Tasas!C12-Datos!BE12)/Datos!BE12," - ")</f>
        <v>0.24566859236562871</v>
      </c>
      <c r="J12" s="352">
        <f>IF(ISNUMBER((Tasas!D12-Datos!BF12)/Datos!BF12),(Tasas!D12-Datos!BF12)/Datos!BF12," - ")</f>
        <v>-0.41726068610805955</v>
      </c>
      <c r="K12" s="354">
        <f>IF(ISNUMBER((Tasas!E12-Datos!BG12)/Datos!BG12),(Tasas!E12-Datos!BG12)/Datos!BG12," - ")</f>
        <v>0.17763868510387185</v>
      </c>
      <c r="M12" t="e">
        <f>IF(Monitorios="SI",Datos!CE12,0)</f>
        <v>#REF!</v>
      </c>
      <c r="N12" t="e">
        <f>IF(Monitorios="SI",Datos!CF12,0)</f>
        <v>#REF!</v>
      </c>
      <c r="O12" t="e">
        <f>IF(Monitorios="SI",Datos!CG12,0)</f>
        <v>#REF!</v>
      </c>
      <c r="P12" t="e">
        <f>IF(Monitorios="SI",Datos!CH12,0)</f>
        <v>#REF!</v>
      </c>
      <c r="Q12">
        <f>IF(J_V="SI",0,Datos!AG12)</f>
        <v>172</v>
      </c>
      <c r="R12">
        <f>IF(J_V="SI",0,Datos!AH12)</f>
        <v>211</v>
      </c>
      <c r="S12">
        <f>IF(J_V="SI",0,Datos!AI12)</f>
        <v>172</v>
      </c>
      <c r="T12">
        <f>IF(J_V="SI",0,Datos!AJ12)</f>
        <v>211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-7.4999999999999997E-2</v>
      </c>
      <c r="I13" s="360">
        <f>IF(ISNUMBER((Tasas!C13-Datos!BE13)/Datos!BE13),(Tasas!C13-Datos!BE13)/Datos!BE13," - ")</f>
        <v>0.24487043628008154</v>
      </c>
      <c r="J13" s="358">
        <f>IF(ISNUMBER((Tasas!D13-Datos!BF13)/Datos!BF13),(Tasas!D13-Datos!BF13)/Datos!BF13," - ")</f>
        <v>-0.41284828776330251</v>
      </c>
      <c r="K13" s="361">
        <f>IF(ISNUMBER((Tasas!E13-Datos!BG13)/Datos!BG13),(Tasas!E13-Datos!BG13)/Datos!BG13," - ")</f>
        <v>0.17702524718848256</v>
      </c>
      <c r="M13" t="e">
        <f>IF(Monitorios="SI",Datos!CE13,0)</f>
        <v>#REF!</v>
      </c>
      <c r="N13" t="e">
        <f>IF(Monitorios="SI",Datos!CF13,0)</f>
        <v>#REF!</v>
      </c>
      <c r="O13" t="e">
        <f>IF(Monitorios="SI",Datos!CG13,0)</f>
        <v>#REF!</v>
      </c>
      <c r="P13" t="e">
        <f>IF(Monitorios="SI",Datos!CH13,0)</f>
        <v>#REF!</v>
      </c>
      <c r="Q13">
        <f>IF(J_V="SI",0,Datos!AG13)</f>
        <v>172</v>
      </c>
      <c r="R13">
        <f>IF(J_V="SI",0,Datos!AH13)</f>
        <v>211</v>
      </c>
      <c r="S13">
        <f>IF(J_V="SI",0,Datos!AI13)</f>
        <v>172</v>
      </c>
      <c r="T13">
        <f>IF(J_V="SI",0,Datos!AJ13)</f>
        <v>211</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9.1435768261964742E-2</v>
      </c>
      <c r="E16" s="351">
        <f>IF(ISNUMBER(
   IF(D_I="SI",(Datos!J16-Datos!T16)/Datos!T16,(Datos!J16+Datos!AD16-(Datos!T16+Datos!AL16))/(Datos!T16+Datos!AL16))
     ),IF(D_I="SI",(Datos!J16-Datos!T16)/Datos!T16,(Datos!J16+Datos!AD16-(Datos!T16+Datos!AL16))/(Datos!T16+Datos!AL16))," - ")</f>
        <v>6.9572875385292818E-2</v>
      </c>
      <c r="F16" s="351">
        <f>IF(ISNUMBER(
   IF(D_I="SI",(Datos!K16-Datos!U16)/Datos!U16,(Datos!K16+Datos!AE16-(Datos!U16+Datos!AM16))/(Datos!U16+Datos!AM16))
     ),IF(D_I="SI",(Datos!K16-Datos!U16)/Datos!U16,(Datos!K16+Datos!AE16-(Datos!U16+Datos!AM16))/(Datos!U16+Datos!AM16))," - ")</f>
        <v>2.2397891963109356E-2</v>
      </c>
      <c r="G16" s="352">
        <f>IF(ISNUMBER(
   IF(D_I="SI",(Datos!L16-Datos!V16)/Datos!V16,(Datos!L16+Datos!AF16-(Datos!V16+Datos!AN16))/(Datos!V16+Datos!AN16))
     ),IF(D_I="SI",(Datos!L16-Datos!V16)/Datos!V16,(Datos!L16+Datos!AF16-(Datos!V16+Datos!AN16))/(Datos!V16+Datos!AN16))," - ")</f>
        <v>0.11763230499122147</v>
      </c>
      <c r="H16" s="233">
        <f>IF(ISNUMBER((Datos!M16-Datos!W16)/Datos!W16),(Datos!M16-Datos!W16)/Datos!W16," - ")</f>
        <v>-7.0121951219512202E-2</v>
      </c>
      <c r="I16" s="353">
        <f>IF(ISNUMBER((Tasas!C16-Datos!BE16)/Datos!BE16),(Tasas!C16-Datos!BE16)/Datos!BE16," - ")</f>
        <v>9.3148092124145723E-2</v>
      </c>
      <c r="J16" s="352">
        <f>IF(ISNUMBER((Tasas!D16-Datos!BF16)/Datos!BF16),(Tasas!D16-Datos!BF16)/Datos!BF16," - ")</f>
        <v>-9.0492990947950602E-2</v>
      </c>
      <c r="K16" s="354">
        <f>IF(ISNUMBER((Tasas!E16-Datos!BG16)/Datos!BG16),(Tasas!E16-Datos!BG16)/Datos!BG16," - ")</f>
        <v>5.9744175943255227E-2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-5.9405940594059403E-2</v>
      </c>
      <c r="E17" s="351">
        <f>IF(ISNUMBER(
   IF(D_I="SI",(Datos!J17-Datos!T17)/Datos!T17,(Datos!J17+Datos!AD17-(Datos!T17+Datos!AL17))/(Datos!T17+Datos!AL17))
     ),IF(D_I="SI",(Datos!J17-Datos!T17)/Datos!T17,(Datos!J17+Datos!AD17-(Datos!T17+Datos!AL17))/(Datos!T17+Datos!AL17))," - ")</f>
        <v>0.3867924528301887</v>
      </c>
      <c r="F17" s="351">
        <f>IF(ISNUMBER(
   IF(D_I="SI",(Datos!K17-Datos!U17)/Datos!U17,(Datos!K17+Datos!AE17-(Datos!U17+Datos!AM17))/(Datos!U17+Datos!AM17))
     ),IF(D_I="SI",(Datos!K17-Datos!U17)/Datos!U17,(Datos!K17+Datos!AE17-(Datos!U17+Datos!AM17))/(Datos!U17+Datos!AM17))," - ")</f>
        <v>0.21276595744680851</v>
      </c>
      <c r="G17" s="352">
        <f>IF(ISNUMBER(
   IF(D_I="SI",(Datos!L17-Datos!V17)/Datos!V17,(Datos!L17+Datos!AF17-(Datos!V17+Datos!AN17))/(Datos!V17+Datos!AN17))
     ),IF(D_I="SI",(Datos!L17-Datos!V17)/Datos!V17,(Datos!L17+Datos!AF17-(Datos!V17+Datos!AN17))/(Datos!V17+Datos!AN17))," - ")</f>
        <v>0.36144578313253012</v>
      </c>
      <c r="H17" s="233">
        <f>IF(ISNUMBER((Datos!M17-Datos!W17)/Datos!W17),(Datos!M17-Datos!W17)/Datos!W17," - ")</f>
        <v>0.7</v>
      </c>
      <c r="I17" s="353">
        <f>IF(ISNUMBER((Tasas!C17-Datos!BE17)/Datos!BE17),(Tasas!C17-Datos!BE17)/Datos!BE17," - ")</f>
        <v>0.12259564574085817</v>
      </c>
      <c r="J17" s="352">
        <f>IF(ISNUMBER((Tasas!D17-Datos!BF17)/Datos!BF17),(Tasas!D17-Datos!BF17)/Datos!BF17," - ")</f>
        <v>0.40175438596491225</v>
      </c>
      <c r="K17" s="354">
        <f>IF(ISNUMBER((Tasas!E17-Datos!BG17)/Datos!BG17),(Tasas!E17-Datos!BG17)/Datos!BG17," - ")</f>
        <v>2.4774396054032838E-2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8.7693441414885775E-2</v>
      </c>
      <c r="E18" s="357">
        <f>IF(ISNUMBER(
   IF(D_I="SI",(Datos!J18-Datos!T18)/Datos!T18,(Datos!J18+Datos!AD18-(Datos!T18+Datos!AL18))/(Datos!T18+Datos!AL18))
     ),IF(D_I="SI",(Datos!J18-Datos!T18)/Datos!T18,(Datos!J18+Datos!AD18-(Datos!T18+Datos!AL18))/(Datos!T18+Datos!AL18))," - ")</f>
        <v>9.6657269432138537E-2</v>
      </c>
      <c r="F18" s="357">
        <f>IF(ISNUMBER(
   IF(D_I="SI",(Datos!K18-Datos!U18)/Datos!U18,(Datos!K18+Datos!AE18-(Datos!U18+Datos!AM18))/(Datos!U18+Datos!AM18))
     ),IF(D_I="SI",(Datos!K18-Datos!U18)/Datos!U18,(Datos!K18+Datos!AE18-(Datos!U18+Datos!AM18))/(Datos!U18+Datos!AM18))," - ")</f>
        <v>4.020700636942675E-2</v>
      </c>
      <c r="G18" s="358">
        <f>IF(ISNUMBER(
   IF(D_I="SI",(Datos!L18-Datos!V18)/Datos!V18,(Datos!L18+Datos!AF18-(Datos!V18+Datos!AN18))/(Datos!V18+Datos!AN18))
     ),IF(D_I="SI",(Datos!L18-Datos!V18)/Datos!V18,(Datos!L18+Datos!AF18-(Datos!V18+Datos!AN18))/(Datos!V18+Datos!AN18))," - ")</f>
        <v>0.1226044226044226</v>
      </c>
      <c r="H18" s="359">
        <f>IF(ISNUMBER((Datos!M18-Datos!W18)/Datos!W18),(Datos!M18-Datos!W18)/Datos!W18," - ")</f>
        <v>-4.7337278106508875E-2</v>
      </c>
      <c r="I18" s="360">
        <f>IF(ISNUMBER((Tasas!C18-Datos!BE18)/Datos!BE18),(Tasas!C18-Datos!BE18)/Datos!BE18," - ")</f>
        <v>7.9212518018488068E-2</v>
      </c>
      <c r="J18" s="358">
        <f>IF(ISNUMBER((Tasas!D18-Datos!BF18)/Datos!BF18),(Tasas!D18-Datos!BF18)/Datos!BF18," - ")</f>
        <v>-8.4160444930558867E-2</v>
      </c>
      <c r="K18" s="361">
        <f>IF(ISNUMBER((Tasas!E18-Datos!BG18)/Datos!BG18),(Tasas!E18-Datos!BG18)/Datos!BG18," - ")</f>
        <v>4.891565271690889E-2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2.2071911712353152E-2</v>
      </c>
      <c r="E19" s="366">
        <f>IF(ISNUMBER(
   IF(J_V="SI",(Datos!J19-Datos!T19)/Datos!T19,(Datos!J19+Datos!Z19-(Datos!T19+Datos!AH19))/(Datos!T19+Datos!AH19))
     ),IF(J_V="SI",(Datos!J19-Datos!T19)/Datos!T19,(Datos!J19+Datos!Z19-(Datos!T19+Datos!AH19))/(Datos!T19+Datos!AH19))," - ")</f>
        <v>0.14546159813809154</v>
      </c>
      <c r="F19" s="366">
        <f>IF(ISNUMBER(
   IF(J_V="SI",(Datos!K19-Datos!U19)/Datos!U19,(Datos!K19+Datos!AA19-(Datos!U19+Datos!AI19))/(Datos!U19+Datos!AI19))
     ),IF(J_V="SI",(Datos!K19-Datos!U19)/Datos!U19,(Datos!K19+Datos!AA19-(Datos!U19+Datos!AI19))/(Datos!U19+Datos!AI19))," - ")</f>
        <v>-4.1870992078460956E-2</v>
      </c>
      <c r="G19" s="367">
        <f>IF(ISNUMBER(
   IF(J_V="SI",(Datos!L19-Datos!V19)/Datos!V19,(Datos!L19+Datos!AB19-(Datos!V19+Datos!AJ19))/(Datos!V19+Datos!AJ19))
     ),IF(J_V="SI",(Datos!L19-Datos!V19)/Datos!V19,(Datos!L19+Datos!AB19-(Datos!V19+Datos!AJ19))/(Datos!V19+Datos!AJ19))," - ")</f>
        <v>0.10874449537161858</v>
      </c>
      <c r="H19" s="368">
        <f>IF(ISNUMBER((Datos!M19-Datos!W19)/Datos!W19),(Datos!M19-Datos!W19)/Datos!W19," - ")</f>
        <v>-6.5031982942430705E-2</v>
      </c>
      <c r="I19" s="365">
        <f>IF(ISNUMBER((Tasas!C19-Datos!BE19)/Datos!BE19),(Tasas!C19-Datos!BE19)/Datos!BE19," - ")</f>
        <v>0.15719750284652018</v>
      </c>
      <c r="J19" s="366">
        <f>IF(ISNUMBER((Tasas!D19-Datos!BF19)/Datos!BF19),(Tasas!D19-Datos!BF19)/Datos!BF19," - ")</f>
        <v>-0.3494487629344839</v>
      </c>
      <c r="K19" s="367">
        <f>IF(ISNUMBER((Tasas!E19-Datos!BG19)/Datos!BG19),(Tasas!E19-Datos!BG19)/Datos!BG19," - ")</f>
        <v>0.10724479580974788</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0.15509232775177492</v>
      </c>
      <c r="E21" s="281">
        <f t="shared" si="1"/>
        <v>0.21346408448125884</v>
      </c>
      <c r="F21" s="281">
        <f t="shared" si="1"/>
        <v>9.1341049624457965E-2</v>
      </c>
      <c r="G21" s="282">
        <f t="shared" si="1"/>
        <v>0.11466081423881472</v>
      </c>
      <c r="H21" s="288">
        <f t="shared" si="1"/>
        <v>0.31965392634921058</v>
      </c>
      <c r="I21" s="280">
        <f t="shared" si="1"/>
        <v>7.4856662385206441E-2</v>
      </c>
      <c r="J21" s="281">
        <f t="shared" si="1"/>
        <v>0.29989214034106626</v>
      </c>
      <c r="K21" s="282">
        <f t="shared" si="1"/>
        <v>6.8037801730864059E-2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UFj8BOQ0kWSnKeraf24jVWWRS4SPvH2xSZyP6XfPi68NQcSF/d9BABEk4GZZIWfjBNed6XJVWJkFlizDvbQAkg==" saltValue="oimCE/Y27g3/RAMumshGx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2024-03-07T15:06:53Z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